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DieseArbeitsmappe"/>
  <mc:AlternateContent xmlns:mc="http://schemas.openxmlformats.org/markup-compatibility/2006">
    <mc:Choice Requires="x15">
      <x15ac:absPath xmlns:x15ac="http://schemas.microsoft.com/office/spreadsheetml/2010/11/ac" url="O:\PROGRAMM_Praxis\Arbeitshilfen\AH_Martz\Dateien\2022\Rendite-Rechner_Fotovoltaik\final\"/>
    </mc:Choice>
  </mc:AlternateContent>
  <xr:revisionPtr revIDLastSave="0" documentId="8_{8DF9E124-756E-4C21-A318-9F757908136E}" xr6:coauthVersionLast="44" xr6:coauthVersionMax="44" xr10:uidLastSave="{00000000-0000-0000-0000-000000000000}"/>
  <bookViews>
    <workbookView xWindow="4110" yWindow="4110" windowWidth="21600" windowHeight="11385" tabRatio="882" activeTab="1" xr2:uid="{00000000-000D-0000-FFFF-FFFF00000000}"/>
  </bookViews>
  <sheets>
    <sheet name="Version_Hinweise" sheetId="25" r:id="rId1"/>
    <sheet name="Eingabe" sheetId="12" r:id="rId2"/>
    <sheet name="Finanzierung" sheetId="24" r:id="rId3"/>
    <sheet name="Steuerliche Gewinnermittlung" sheetId="14" r:id="rId4"/>
    <sheet name="Absetzung für Abnutzung" sheetId="15" r:id="rId5"/>
    <sheet name="Liquiditätsvorschau" sheetId="20" r:id="rId6"/>
    <sheet name="Kennzahlen" sheetId="21" r:id="rId7"/>
    <sheet name="Investition" sheetId="22" r:id="rId8"/>
    <sheet name="Konten" sheetId="23" r:id="rId9"/>
    <sheet name="Darlehen 1" sheetId="16" state="hidden" r:id="rId10"/>
    <sheet name="Darlehen 2" sheetId="17" state="hidden" r:id="rId11"/>
    <sheet name="Darlehen 3" sheetId="18" state="hidden" r:id="rId12"/>
  </sheets>
  <externalReferences>
    <externalReference r:id="rId13"/>
    <externalReference r:id="rId14"/>
  </externalReferences>
  <definedNames>
    <definedName name="Abschreibungen">'[1]Kosten und Förderung'!$D$9:$K$9</definedName>
    <definedName name="Aufträge" localSheetId="10">#REF!</definedName>
    <definedName name="Aufträge" localSheetId="11">#REF!</definedName>
    <definedName name="Aufträge" localSheetId="5">#REF!</definedName>
    <definedName name="Aufträge">#REF!</definedName>
    <definedName name="bauliche_Maßnahmen_max._20.000_Euro">'[1]Kosten und Förderung'!#REF!</definedName>
    <definedName name="Behilfe_ÜII">#REF!</definedName>
    <definedName name="Beihilfe_Dez_Plus">#REF!</definedName>
    <definedName name="Beihilfe_Nov_Plus">#REF!</definedName>
    <definedName name="Bundesweite_Schließung">[1]Stammdaten!#REF!</definedName>
    <definedName name="_xlnm.Print_Area" localSheetId="4">'Absetzung für Abnutzung'!$B$1:$G$36</definedName>
    <definedName name="_xlnm.Print_Area" localSheetId="7">Investition!$B$1:$J$38</definedName>
    <definedName name="_xlnm.Print_Area" localSheetId="8">Konten!$B$1:$N$103</definedName>
    <definedName name="_xlnm.Print_Area" localSheetId="3">'Steuerliche Gewinnermittlung'!$A$1:$AY$47</definedName>
    <definedName name="Erstattungssatz">'[1]Antrag und Erstattungsatz '!$C$13:$J$13</definedName>
    <definedName name="Förderfähige_Kosten">'[1]Kosten und Förderung'!$D$33:$K$33</definedName>
    <definedName name="Förderung_Alternative_1" comment="1 = Förderung erfüllt">#REF!</definedName>
    <definedName name="Förderung_Alternative_2" comment="1 = Kriterium Erfüllt">#REF!</definedName>
    <definedName name="Förderung_gesamt">'[1]Kosten und Förderung'!$D$35:$K$35</definedName>
    <definedName name="Gemeinkosten">'[2]Kalkulation mit Zuschlag'!$B$19</definedName>
    <definedName name="Gewinn">'[2]Kalkulation mit Zuschlag'!$B$21</definedName>
    <definedName name="GKI">'[2]Kalkulation mit Zuschlag'!$B$34</definedName>
    <definedName name="Gründungsdatum">[1]Stammdaten!$C$9</definedName>
    <definedName name="GZuschlag">'[2]Kalkulation mit Zuschlag'!$B$36</definedName>
    <definedName name="Kostenbereich_4">'[1]Kosten und Förderung'!$D$20:$K$20,'[1]Kosten und Förderung'!#REF!,'[1]Kosten und Förderung'!$D$24:$K$24</definedName>
    <definedName name="MWST">'[2]Kalkulation mit Zuschlag'!$B$23</definedName>
    <definedName name="MWSTI">'[2]Kalkulation mit Zuschlag'!$B$38</definedName>
    <definedName name="Personenunternehmen_NRW">[1]Stammdaten!#REF!</definedName>
    <definedName name="Pfändung_0">#REF!</definedName>
    <definedName name="Pfändung_1">#REF!</definedName>
    <definedName name="Pfändung_2">#REF!</definedName>
    <definedName name="Pfändung_3">#REF!</definedName>
    <definedName name="Pfändung_4">#REF!</definedName>
    <definedName name="Pfändung_5">#REF!</definedName>
    <definedName name="Pfändungsfreibetrag_Unternehmer">#REF!</definedName>
    <definedName name="Soloselbständiger">[1]Stammdaten!$C$10</definedName>
    <definedName name="Stdatzgetraenke">'[2]Kalkulation mit Arbeitszeit'!$B$43</definedName>
    <definedName name="Stundensatz">'[2]Kalkulation mit Arbeitszeit'!$B$24</definedName>
    <definedName name="text_Förderung_Pauschal">[1]Variablen!$A$22</definedName>
    <definedName name="text_förderung_tatsächlich">[1]Variablen!$A$21</definedName>
    <definedName name="Umsatzrückgang_in">'[1]Antrag und Erstattungsatz '!$C$9:$J$9</definedName>
    <definedName name="Umsatzrückgang_Lockdown" comment="Kriterium 30% erfüll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9" i="14" l="1"/>
  <c r="AO10" i="14"/>
  <c r="AO11" i="14"/>
  <c r="AO12" i="14"/>
  <c r="AO13" i="14"/>
  <c r="AO14" i="14"/>
  <c r="AO15" i="14"/>
  <c r="AO16" i="14"/>
  <c r="AO17" i="14"/>
  <c r="AO18" i="14"/>
  <c r="AO19" i="14"/>
  <c r="AO20" i="14"/>
  <c r="AO21" i="14"/>
  <c r="AO22" i="14"/>
  <c r="AO23" i="14"/>
  <c r="AO24" i="14"/>
  <c r="AO25" i="14"/>
  <c r="AO26" i="14"/>
  <c r="AO27" i="14"/>
  <c r="AO28" i="14"/>
  <c r="AO29" i="14"/>
  <c r="AO30" i="14"/>
  <c r="AO31" i="14"/>
  <c r="AO32" i="14"/>
  <c r="AO33" i="14"/>
  <c r="AO34" i="14"/>
  <c r="AO35" i="14"/>
  <c r="AO36" i="14"/>
  <c r="AO37" i="14"/>
  <c r="AO38" i="14"/>
  <c r="AO8" i="14"/>
  <c r="E35" i="12" l="1"/>
  <c r="D6" i="18"/>
  <c r="D6" i="17"/>
  <c r="D6" i="16"/>
  <c r="F6" i="12"/>
  <c r="G6" i="12" s="1"/>
  <c r="D8" i="18"/>
  <c r="D7" i="18"/>
  <c r="D5" i="18"/>
  <c r="D4" i="18"/>
  <c r="D3" i="18"/>
  <c r="D8" i="17"/>
  <c r="D7" i="17"/>
  <c r="D5" i="17"/>
  <c r="D4" i="17"/>
  <c r="D3" i="17"/>
  <c r="D8" i="16"/>
  <c r="D7" i="16"/>
  <c r="D5" i="16"/>
  <c r="D4" i="16"/>
  <c r="D3" i="16"/>
  <c r="J9" i="14" l="1"/>
  <c r="J10" i="14" s="1"/>
  <c r="J11" i="14" s="1"/>
  <c r="J12" i="14" s="1"/>
  <c r="J13" i="14" s="1"/>
  <c r="J14" i="14" s="1"/>
  <c r="J15" i="14" s="1"/>
  <c r="J16" i="14" s="1"/>
  <c r="J17" i="14" s="1"/>
  <c r="J18" i="14" s="1"/>
  <c r="J19" i="14" s="1"/>
  <c r="J20" i="14" s="1"/>
  <c r="J21" i="14" s="1"/>
  <c r="J22" i="14" s="1"/>
  <c r="J23" i="14" s="1"/>
  <c r="J24" i="14" s="1"/>
  <c r="J25" i="14" s="1"/>
  <c r="J26" i="14" s="1"/>
  <c r="J27" i="14" s="1"/>
  <c r="J28" i="14" s="1"/>
  <c r="J29" i="14" s="1"/>
  <c r="J30" i="14" s="1"/>
  <c r="J31" i="14" s="1"/>
  <c r="J32" i="14" s="1"/>
  <c r="J33" i="14" s="1"/>
  <c r="J34" i="14" s="1"/>
  <c r="J35" i="14" s="1"/>
  <c r="J36" i="14" s="1"/>
  <c r="J37" i="14" s="1"/>
  <c r="J38" i="14" s="1"/>
  <c r="H7" i="14"/>
  <c r="AP38" i="14"/>
  <c r="M75" i="23"/>
  <c r="L75" i="23"/>
  <c r="H75" i="23"/>
  <c r="N75" i="23"/>
  <c r="J75" i="23"/>
  <c r="I75" i="23"/>
  <c r="F75" i="23"/>
  <c r="E75" i="23"/>
  <c r="D75" i="23"/>
  <c r="B45" i="23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D38" i="21"/>
  <c r="B8" i="23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D29" i="20"/>
  <c r="D30" i="20" s="1"/>
  <c r="D29" i="14"/>
  <c r="D30" i="14" s="1"/>
  <c r="G14" i="22"/>
  <c r="T9" i="22"/>
  <c r="T10" i="22" s="1"/>
  <c r="T11" i="22" s="1"/>
  <c r="T12" i="22" s="1"/>
  <c r="T13" i="22" s="1"/>
  <c r="T14" i="22" s="1"/>
  <c r="T15" i="22" s="1"/>
  <c r="T16" i="22" s="1"/>
  <c r="T17" i="22" s="1"/>
  <c r="T18" i="22" s="1"/>
  <c r="T19" i="22" s="1"/>
  <c r="T20" i="22" s="1"/>
  <c r="T21" i="22" s="1"/>
  <c r="T22" i="22" s="1"/>
  <c r="T23" i="22" s="1"/>
  <c r="T24" i="22" s="1"/>
  <c r="T25" i="22" s="1"/>
  <c r="T26" i="22" s="1"/>
  <c r="T27" i="22" s="1"/>
  <c r="T28" i="22" s="1"/>
  <c r="T29" i="22" s="1"/>
  <c r="T30" i="22" s="1"/>
  <c r="T31" i="22" s="1"/>
  <c r="T32" i="22" s="1"/>
  <c r="T33" i="22" s="1"/>
  <c r="T34" i="22" s="1"/>
  <c r="T35" i="22" s="1"/>
  <c r="T36" i="22" s="1"/>
  <c r="T37" i="22" s="1"/>
  <c r="T38" i="22" s="1"/>
  <c r="P9" i="22"/>
  <c r="P10" i="22" s="1"/>
  <c r="P11" i="22" s="1"/>
  <c r="P12" i="22" s="1"/>
  <c r="P13" i="22" s="1"/>
  <c r="P14" i="22" s="1"/>
  <c r="P15" i="22" s="1"/>
  <c r="P16" i="22" s="1"/>
  <c r="P17" i="22" s="1"/>
  <c r="P18" i="22" s="1"/>
  <c r="P19" i="22" s="1"/>
  <c r="P20" i="22" s="1"/>
  <c r="P21" i="22" s="1"/>
  <c r="P22" i="22" s="1"/>
  <c r="P23" i="22" s="1"/>
  <c r="P24" i="22" s="1"/>
  <c r="P25" i="22" s="1"/>
  <c r="P26" i="22" s="1"/>
  <c r="P27" i="22" s="1"/>
  <c r="P28" i="22" s="1"/>
  <c r="P29" i="22" s="1"/>
  <c r="P30" i="22" s="1"/>
  <c r="P31" i="22" s="1"/>
  <c r="P32" i="22" s="1"/>
  <c r="P33" i="22" s="1"/>
  <c r="P34" i="22" s="1"/>
  <c r="P35" i="22" s="1"/>
  <c r="P36" i="22" s="1"/>
  <c r="P37" i="22" s="1"/>
  <c r="P38" i="22" s="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V1" i="14"/>
  <c r="W7" i="14"/>
  <c r="AX7" i="14"/>
  <c r="V8" i="14"/>
  <c r="V9" i="14" s="1"/>
  <c r="V10" i="14" s="1"/>
  <c r="V11" i="14" s="1"/>
  <c r="V12" i="14" s="1"/>
  <c r="V13" i="14" s="1"/>
  <c r="V14" i="14" s="1"/>
  <c r="V15" i="14" s="1"/>
  <c r="V16" i="14" s="1"/>
  <c r="V17" i="14" s="1"/>
  <c r="V18" i="14" s="1"/>
  <c r="V19" i="14" s="1"/>
  <c r="V20" i="14" s="1"/>
  <c r="V21" i="14" s="1"/>
  <c r="V22" i="14" s="1"/>
  <c r="V23" i="14" s="1"/>
  <c r="V24" i="14" s="1"/>
  <c r="V25" i="14" s="1"/>
  <c r="V26" i="14" s="1"/>
  <c r="V27" i="14" s="1"/>
  <c r="V28" i="14" s="1"/>
  <c r="V29" i="14" s="1"/>
  <c r="V30" i="14" s="1"/>
  <c r="V31" i="14" s="1"/>
  <c r="V32" i="14" s="1"/>
  <c r="V33" i="14" s="1"/>
  <c r="V34" i="14" s="1"/>
  <c r="V35" i="14" s="1"/>
  <c r="V36" i="14" s="1"/>
  <c r="V37" i="14" s="1"/>
  <c r="V38" i="14" s="1"/>
  <c r="W8" i="14"/>
  <c r="AN8" i="14"/>
  <c r="AN7" i="14" s="1"/>
  <c r="AX8" i="14"/>
  <c r="W9" i="14"/>
  <c r="AX9" i="14"/>
  <c r="W10" i="14"/>
  <c r="AX10" i="14"/>
  <c r="W11" i="14"/>
  <c r="AX11" i="14"/>
  <c r="W12" i="14"/>
  <c r="AX12" i="14"/>
  <c r="W13" i="14"/>
  <c r="AX13" i="14"/>
  <c r="W14" i="14"/>
  <c r="AX14" i="14"/>
  <c r="W15" i="14"/>
  <c r="AX15" i="14"/>
  <c r="W16" i="14"/>
  <c r="AX16" i="14"/>
  <c r="W17" i="14"/>
  <c r="AX17" i="14"/>
  <c r="W18" i="14"/>
  <c r="AX18" i="14"/>
  <c r="W19" i="14"/>
  <c r="AX19" i="14"/>
  <c r="W20" i="14"/>
  <c r="AX20" i="14"/>
  <c r="W21" i="14"/>
  <c r="AX21" i="14"/>
  <c r="W22" i="14"/>
  <c r="AX22" i="14"/>
  <c r="W23" i="14"/>
  <c r="AX23" i="14"/>
  <c r="W24" i="14"/>
  <c r="AX24" i="14"/>
  <c r="W25" i="14"/>
  <c r="AX25" i="14"/>
  <c r="W26" i="14"/>
  <c r="AX26" i="14"/>
  <c r="W27" i="14"/>
  <c r="AX27" i="14"/>
  <c r="W28" i="14"/>
  <c r="AX28" i="14"/>
  <c r="W29" i="14"/>
  <c r="AX29" i="14"/>
  <c r="W30" i="14"/>
  <c r="AX30" i="14"/>
  <c r="W31" i="14"/>
  <c r="AX31" i="14"/>
  <c r="W32" i="14"/>
  <c r="AX32" i="14"/>
  <c r="W33" i="14"/>
  <c r="AX33" i="14"/>
  <c r="W34" i="14"/>
  <c r="AX34" i="14"/>
  <c r="W35" i="14"/>
  <c r="AX35" i="14"/>
  <c r="W36" i="14"/>
  <c r="AX36" i="14"/>
  <c r="W37" i="14"/>
  <c r="AX37" i="14"/>
  <c r="W38" i="14"/>
  <c r="AX38" i="14"/>
  <c r="T38" i="20"/>
  <c r="P38" i="20"/>
  <c r="O38" i="20"/>
  <c r="P37" i="20"/>
  <c r="O37" i="20"/>
  <c r="P36" i="20"/>
  <c r="O36" i="20"/>
  <c r="P35" i="20"/>
  <c r="O35" i="20"/>
  <c r="P34" i="20"/>
  <c r="O34" i="20"/>
  <c r="P33" i="20"/>
  <c r="O33" i="20"/>
  <c r="P32" i="20"/>
  <c r="O32" i="20"/>
  <c r="P31" i="20"/>
  <c r="O31" i="20"/>
  <c r="P30" i="20"/>
  <c r="O30" i="20"/>
  <c r="P29" i="20"/>
  <c r="O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N9" i="20"/>
  <c r="N10" i="20" s="1"/>
  <c r="N11" i="20" s="1"/>
  <c r="N12" i="20" s="1"/>
  <c r="N13" i="20" s="1"/>
  <c r="N14" i="20" s="1"/>
  <c r="N15" i="20" s="1"/>
  <c r="N16" i="20" s="1"/>
  <c r="N17" i="20" s="1"/>
  <c r="N18" i="20" s="1"/>
  <c r="N19" i="20" s="1"/>
  <c r="N20" i="20" s="1"/>
  <c r="N21" i="20" s="1"/>
  <c r="N22" i="20" s="1"/>
  <c r="N23" i="20" s="1"/>
  <c r="N24" i="20" s="1"/>
  <c r="N25" i="20" s="1"/>
  <c r="N26" i="20" s="1"/>
  <c r="N27" i="20" s="1"/>
  <c r="N28" i="20" s="1"/>
  <c r="N29" i="20" s="1"/>
  <c r="N30" i="20" s="1"/>
  <c r="N31" i="20" s="1"/>
  <c r="N32" i="20" s="1"/>
  <c r="N33" i="20" s="1"/>
  <c r="N34" i="20" s="1"/>
  <c r="N35" i="20" s="1"/>
  <c r="N36" i="20" s="1"/>
  <c r="N37" i="20" s="1"/>
  <c r="N38" i="20" s="1"/>
  <c r="M9" i="20"/>
  <c r="M10" i="20" s="1"/>
  <c r="M11" i="20" s="1"/>
  <c r="M12" i="20" s="1"/>
  <c r="M13" i="20" s="1"/>
  <c r="M14" i="20" s="1"/>
  <c r="M15" i="20" s="1"/>
  <c r="M16" i="20" s="1"/>
  <c r="M17" i="20" s="1"/>
  <c r="M18" i="20" s="1"/>
  <c r="M19" i="20" s="1"/>
  <c r="M20" i="20" s="1"/>
  <c r="M21" i="20" s="1"/>
  <c r="M22" i="20" s="1"/>
  <c r="M23" i="20" s="1"/>
  <c r="M24" i="20" s="1"/>
  <c r="M25" i="20" s="1"/>
  <c r="M26" i="20" s="1"/>
  <c r="M27" i="20" s="1"/>
  <c r="M28" i="20" s="1"/>
  <c r="M29" i="20" s="1"/>
  <c r="M30" i="20" s="1"/>
  <c r="M31" i="20" s="1"/>
  <c r="M32" i="20" s="1"/>
  <c r="M33" i="20" s="1"/>
  <c r="M34" i="20" s="1"/>
  <c r="M35" i="20" s="1"/>
  <c r="M36" i="20" s="1"/>
  <c r="M37" i="20" s="1"/>
  <c r="M38" i="20" s="1"/>
  <c r="L9" i="20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L37" i="20" s="1"/>
  <c r="L38" i="20" s="1"/>
  <c r="K9" i="20"/>
  <c r="K10" i="20" s="1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K33" i="20" s="1"/>
  <c r="K34" i="20" s="1"/>
  <c r="K35" i="20" s="1"/>
  <c r="K36" i="20" s="1"/>
  <c r="K37" i="20" s="1"/>
  <c r="K38" i="20" s="1"/>
  <c r="J9" i="20"/>
  <c r="J10" i="20" s="1"/>
  <c r="J11" i="20" s="1"/>
  <c r="B9" i="20"/>
  <c r="E8" i="20"/>
  <c r="B8" i="20"/>
  <c r="C8" i="20" s="1"/>
  <c r="A8" i="20"/>
  <c r="R8" i="22" s="1"/>
  <c r="M9" i="14"/>
  <c r="M10" i="14" s="1"/>
  <c r="M11" i="14" s="1"/>
  <c r="M12" i="14" s="1"/>
  <c r="M13" i="14" s="1"/>
  <c r="M14" i="14" s="1"/>
  <c r="M15" i="14" s="1"/>
  <c r="M16" i="14" s="1"/>
  <c r="M17" i="14" s="1"/>
  <c r="M18" i="14" s="1"/>
  <c r="M19" i="14" s="1"/>
  <c r="M20" i="14" s="1"/>
  <c r="M21" i="14" s="1"/>
  <c r="M22" i="14" s="1"/>
  <c r="M23" i="14" s="1"/>
  <c r="M24" i="14" s="1"/>
  <c r="M25" i="14" s="1"/>
  <c r="M26" i="14" s="1"/>
  <c r="M27" i="14" s="1"/>
  <c r="M28" i="14" s="1"/>
  <c r="M29" i="14" s="1"/>
  <c r="M30" i="14" s="1"/>
  <c r="M31" i="14" s="1"/>
  <c r="M32" i="14" s="1"/>
  <c r="M33" i="14" s="1"/>
  <c r="M34" i="14" s="1"/>
  <c r="M35" i="14" s="1"/>
  <c r="M36" i="14" s="1"/>
  <c r="M37" i="14" s="1"/>
  <c r="M38" i="14" s="1"/>
  <c r="L9" i="14"/>
  <c r="L10" i="14" s="1"/>
  <c r="L11" i="14" s="1"/>
  <c r="L12" i="14" s="1"/>
  <c r="L13" i="14" s="1"/>
  <c r="L14" i="14" s="1"/>
  <c r="L15" i="14" s="1"/>
  <c r="L16" i="14" s="1"/>
  <c r="L17" i="14" s="1"/>
  <c r="L18" i="14" s="1"/>
  <c r="L19" i="14" s="1"/>
  <c r="L20" i="14" s="1"/>
  <c r="L21" i="14" s="1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L32" i="14" s="1"/>
  <c r="L33" i="14" s="1"/>
  <c r="L34" i="14" s="1"/>
  <c r="L35" i="14" s="1"/>
  <c r="L36" i="14" s="1"/>
  <c r="L37" i="14" s="1"/>
  <c r="L38" i="14" s="1"/>
  <c r="K9" i="14"/>
  <c r="K10" i="14" s="1"/>
  <c r="K11" i="14" s="1"/>
  <c r="K12" i="14" s="1"/>
  <c r="K13" i="14" s="1"/>
  <c r="K14" i="14" s="1"/>
  <c r="K15" i="14" s="1"/>
  <c r="K16" i="14" s="1"/>
  <c r="K17" i="14" s="1"/>
  <c r="K18" i="14" s="1"/>
  <c r="K19" i="14" s="1"/>
  <c r="K20" i="14" s="1"/>
  <c r="K21" i="14" s="1"/>
  <c r="K22" i="14" s="1"/>
  <c r="K23" i="14" s="1"/>
  <c r="K24" i="14" s="1"/>
  <c r="K25" i="14" s="1"/>
  <c r="K26" i="14" s="1"/>
  <c r="K27" i="14" s="1"/>
  <c r="K28" i="14" s="1"/>
  <c r="K29" i="14" s="1"/>
  <c r="K30" i="14" s="1"/>
  <c r="K31" i="14" s="1"/>
  <c r="K32" i="14" s="1"/>
  <c r="K33" i="14" s="1"/>
  <c r="K34" i="14" s="1"/>
  <c r="K35" i="14" s="1"/>
  <c r="K36" i="14" s="1"/>
  <c r="K37" i="14" s="1"/>
  <c r="K38" i="14" s="1"/>
  <c r="I9" i="14"/>
  <c r="I10" i="14" s="1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S3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N29" i="14"/>
  <c r="N30" i="14"/>
  <c r="N31" i="14"/>
  <c r="N32" i="14"/>
  <c r="N33" i="14"/>
  <c r="N34" i="14"/>
  <c r="N35" i="14"/>
  <c r="N36" i="14"/>
  <c r="N37" i="14"/>
  <c r="N38" i="14"/>
  <c r="E8" i="14"/>
  <c r="E9" i="14" s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0" i="14" s="1"/>
  <c r="E31" i="14" s="1"/>
  <c r="E32" i="14" s="1"/>
  <c r="E33" i="14" s="1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8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B19" i="18"/>
  <c r="F9" i="18"/>
  <c r="D9" i="18" s="1"/>
  <c r="B19" i="17"/>
  <c r="F9" i="17"/>
  <c r="D9" i="17" s="1"/>
  <c r="AH26" i="14" l="1"/>
  <c r="AC26" i="14"/>
  <c r="AC24" i="14"/>
  <c r="AH24" i="14"/>
  <c r="AH22" i="14"/>
  <c r="AC22" i="14"/>
  <c r="AC20" i="14"/>
  <c r="AH20" i="14"/>
  <c r="AH18" i="14"/>
  <c r="AC18" i="14"/>
  <c r="AH27" i="14"/>
  <c r="AC27" i="14"/>
  <c r="AC25" i="14"/>
  <c r="AH25" i="14"/>
  <c r="AH23" i="14"/>
  <c r="AC23" i="14"/>
  <c r="AC21" i="14"/>
  <c r="AH21" i="14"/>
  <c r="AH19" i="14"/>
  <c r="AC19" i="14"/>
  <c r="AH38" i="14"/>
  <c r="AC38" i="14"/>
  <c r="AH36" i="14"/>
  <c r="AC36" i="14"/>
  <c r="AD36" i="14" s="1"/>
  <c r="AH34" i="14"/>
  <c r="AC34" i="14"/>
  <c r="AH32" i="14"/>
  <c r="AC32" i="14"/>
  <c r="AD32" i="14" s="1"/>
  <c r="AH30" i="14"/>
  <c r="AC30" i="14"/>
  <c r="AH28" i="14"/>
  <c r="AC28" i="14"/>
  <c r="AC37" i="14"/>
  <c r="AH37" i="14"/>
  <c r="AH35" i="14"/>
  <c r="AC35" i="14"/>
  <c r="AC33" i="14"/>
  <c r="AH33" i="14"/>
  <c r="AH31" i="14"/>
  <c r="AC31" i="14"/>
  <c r="AC29" i="14"/>
  <c r="AH29" i="14"/>
  <c r="AI29" i="14" s="1"/>
  <c r="AH16" i="14"/>
  <c r="AC16" i="14"/>
  <c r="AC14" i="14"/>
  <c r="AH14" i="14"/>
  <c r="AH12" i="14"/>
  <c r="AC12" i="14"/>
  <c r="AC10" i="14"/>
  <c r="AH10" i="14"/>
  <c r="AH7" i="14"/>
  <c r="AC7" i="14"/>
  <c r="AC8" i="14"/>
  <c r="AH8" i="14"/>
  <c r="AH17" i="14"/>
  <c r="AC17" i="14"/>
  <c r="AH15" i="14"/>
  <c r="AI15" i="14" s="1"/>
  <c r="AC15" i="14"/>
  <c r="AH13" i="14"/>
  <c r="AC13" i="14"/>
  <c r="AH11" i="14"/>
  <c r="AI11" i="14" s="1"/>
  <c r="AC11" i="14"/>
  <c r="AH9" i="14"/>
  <c r="AC9" i="14"/>
  <c r="F38" i="14"/>
  <c r="AI32" i="14"/>
  <c r="AD38" i="14"/>
  <c r="AI38" i="14"/>
  <c r="AI36" i="14"/>
  <c r="AD34" i="14"/>
  <c r="AI34" i="14"/>
  <c r="AD30" i="14"/>
  <c r="AI30" i="14"/>
  <c r="AD28" i="14"/>
  <c r="AI28" i="14"/>
  <c r="AD37" i="14"/>
  <c r="AI37" i="14"/>
  <c r="AD35" i="14"/>
  <c r="AI35" i="14"/>
  <c r="AD33" i="14"/>
  <c r="AI33" i="14"/>
  <c r="AD31" i="14"/>
  <c r="AI31" i="14"/>
  <c r="AD29" i="14"/>
  <c r="AD20" i="14"/>
  <c r="AI20" i="14"/>
  <c r="AD26" i="14"/>
  <c r="AI26" i="14"/>
  <c r="AD24" i="14"/>
  <c r="AI24" i="14"/>
  <c r="AD22" i="14"/>
  <c r="AI22" i="14"/>
  <c r="AD18" i="14"/>
  <c r="AI18" i="14"/>
  <c r="AD27" i="14"/>
  <c r="AI27" i="14"/>
  <c r="AD25" i="14"/>
  <c r="AI25" i="14"/>
  <c r="AD23" i="14"/>
  <c r="AI23" i="14"/>
  <c r="AD21" i="14"/>
  <c r="AI21" i="14"/>
  <c r="AD19" i="14"/>
  <c r="AI19" i="14"/>
  <c r="AD16" i="14"/>
  <c r="AI16" i="14"/>
  <c r="AD10" i="14"/>
  <c r="AI10" i="14"/>
  <c r="AD8" i="14"/>
  <c r="AI8" i="14"/>
  <c r="AD14" i="14"/>
  <c r="AI14" i="14"/>
  <c r="AD12" i="14"/>
  <c r="AI12" i="14"/>
  <c r="AD7" i="14"/>
  <c r="AI7" i="14"/>
  <c r="AD17" i="14"/>
  <c r="AI17" i="14"/>
  <c r="AD15" i="14"/>
  <c r="AD13" i="14"/>
  <c r="AI13" i="14"/>
  <c r="AD11" i="14"/>
  <c r="AD9" i="14"/>
  <c r="AI9" i="14"/>
  <c r="W40" i="14"/>
  <c r="A7" i="20"/>
  <c r="E143" i="18"/>
  <c r="D378" i="18"/>
  <c r="D374" i="18"/>
  <c r="D370" i="18"/>
  <c r="D366" i="18"/>
  <c r="D362" i="18"/>
  <c r="D358" i="18"/>
  <c r="D354" i="18"/>
  <c r="D350" i="18"/>
  <c r="D346" i="18"/>
  <c r="D342" i="18"/>
  <c r="D338" i="18"/>
  <c r="D334" i="18"/>
  <c r="D330" i="18"/>
  <c r="D326" i="18"/>
  <c r="D322" i="18"/>
  <c r="D318" i="18"/>
  <c r="D314" i="18"/>
  <c r="D310" i="18"/>
  <c r="D306" i="18"/>
  <c r="D302" i="18"/>
  <c r="D298" i="18"/>
  <c r="D294" i="18"/>
  <c r="D290" i="18"/>
  <c r="D286" i="18"/>
  <c r="D282" i="18"/>
  <c r="D278" i="18"/>
  <c r="D274" i="18"/>
  <c r="D270" i="18"/>
  <c r="D266" i="18"/>
  <c r="D262" i="18"/>
  <c r="D258" i="18"/>
  <c r="D254" i="18"/>
  <c r="D250" i="18"/>
  <c r="D246" i="18"/>
  <c r="D242" i="18"/>
  <c r="D238" i="18"/>
  <c r="D234" i="18"/>
  <c r="D230" i="18"/>
  <c r="D226" i="18"/>
  <c r="D222" i="18"/>
  <c r="D218" i="18"/>
  <c r="D214" i="18"/>
  <c r="D210" i="18"/>
  <c r="D206" i="18"/>
  <c r="D202" i="18"/>
  <c r="D198" i="18"/>
  <c r="D194" i="18"/>
  <c r="D190" i="18"/>
  <c r="D186" i="18"/>
  <c r="D182" i="18"/>
  <c r="D178" i="18"/>
  <c r="D174" i="18"/>
  <c r="D170" i="18"/>
  <c r="D166" i="18"/>
  <c r="D162" i="18"/>
  <c r="D158" i="18"/>
  <c r="D154" i="18"/>
  <c r="D150" i="18"/>
  <c r="D146" i="18"/>
  <c r="D142" i="18"/>
  <c r="D137" i="18"/>
  <c r="D133" i="18"/>
  <c r="D129" i="18"/>
  <c r="D125" i="18"/>
  <c r="D121" i="18"/>
  <c r="D117" i="18"/>
  <c r="D113" i="18"/>
  <c r="D109" i="18"/>
  <c r="D105" i="18"/>
  <c r="D101" i="18"/>
  <c r="D97" i="18"/>
  <c r="D93" i="18"/>
  <c r="D89" i="18"/>
  <c r="D85" i="18"/>
  <c r="D81" i="18"/>
  <c r="D77" i="18"/>
  <c r="D73" i="18"/>
  <c r="D69" i="18"/>
  <c r="D65" i="18"/>
  <c r="D61" i="18"/>
  <c r="D57" i="18"/>
  <c r="D53" i="18"/>
  <c r="D49" i="18"/>
  <c r="D45" i="18"/>
  <c r="D41" i="18"/>
  <c r="D37" i="18"/>
  <c r="D33" i="18"/>
  <c r="D29" i="18"/>
  <c r="D25" i="18"/>
  <c r="D21" i="18"/>
  <c r="E376" i="18"/>
  <c r="E372" i="18"/>
  <c r="E368" i="18"/>
  <c r="E364" i="18"/>
  <c r="E360" i="18"/>
  <c r="E356" i="18"/>
  <c r="E352" i="18"/>
  <c r="E348" i="18"/>
  <c r="E344" i="18"/>
  <c r="E340" i="18"/>
  <c r="E336" i="18"/>
  <c r="E332" i="18"/>
  <c r="E328" i="18"/>
  <c r="E324" i="18"/>
  <c r="E320" i="18"/>
  <c r="E316" i="18"/>
  <c r="E312" i="18"/>
  <c r="E308" i="18"/>
  <c r="E304" i="18"/>
  <c r="E300" i="18"/>
  <c r="E296" i="18"/>
  <c r="E292" i="18"/>
  <c r="E288" i="18"/>
  <c r="E284" i="18"/>
  <c r="E280" i="18"/>
  <c r="E276" i="18"/>
  <c r="E272" i="18"/>
  <c r="E268" i="18"/>
  <c r="E264" i="18"/>
  <c r="E260" i="18"/>
  <c r="E256" i="18"/>
  <c r="E252" i="18"/>
  <c r="E248" i="18"/>
  <c r="E244" i="18"/>
  <c r="E240" i="18"/>
  <c r="E236" i="18"/>
  <c r="E232" i="18"/>
  <c r="E228" i="18"/>
  <c r="E224" i="18"/>
  <c r="E220" i="18"/>
  <c r="E216" i="18"/>
  <c r="E212" i="18"/>
  <c r="E208" i="18"/>
  <c r="E204" i="18"/>
  <c r="E200" i="18"/>
  <c r="E196" i="18"/>
  <c r="E192" i="18"/>
  <c r="E188" i="18"/>
  <c r="E184" i="18"/>
  <c r="E180" i="18"/>
  <c r="E176" i="18"/>
  <c r="E172" i="18"/>
  <c r="E168" i="18"/>
  <c r="E164" i="18"/>
  <c r="E160" i="18"/>
  <c r="E156" i="18"/>
  <c r="E152" i="18"/>
  <c r="E148" i="18"/>
  <c r="E144" i="18"/>
  <c r="E140" i="18"/>
  <c r="D379" i="18"/>
  <c r="D375" i="18"/>
  <c r="D371" i="18"/>
  <c r="D367" i="18"/>
  <c r="D363" i="18"/>
  <c r="D359" i="18"/>
  <c r="D355" i="18"/>
  <c r="D351" i="18"/>
  <c r="D347" i="18"/>
  <c r="D343" i="18"/>
  <c r="D339" i="18"/>
  <c r="D335" i="18"/>
  <c r="D331" i="18"/>
  <c r="D327" i="18"/>
  <c r="D323" i="18"/>
  <c r="D319" i="18"/>
  <c r="D315" i="18"/>
  <c r="D311" i="18"/>
  <c r="D307" i="18"/>
  <c r="D303" i="18"/>
  <c r="D299" i="18"/>
  <c r="D295" i="18"/>
  <c r="D291" i="18"/>
  <c r="D287" i="18"/>
  <c r="D283" i="18"/>
  <c r="D279" i="18"/>
  <c r="D275" i="18"/>
  <c r="D271" i="18"/>
  <c r="D267" i="18"/>
  <c r="D263" i="18"/>
  <c r="D259" i="18"/>
  <c r="D255" i="18"/>
  <c r="D251" i="18"/>
  <c r="D247" i="18"/>
  <c r="D243" i="18"/>
  <c r="D239" i="18"/>
  <c r="D235" i="18"/>
  <c r="D231" i="18"/>
  <c r="D227" i="18"/>
  <c r="D223" i="18"/>
  <c r="D219" i="18"/>
  <c r="D215" i="18"/>
  <c r="D211" i="18"/>
  <c r="D207" i="18"/>
  <c r="D203" i="18"/>
  <c r="D199" i="18"/>
  <c r="D195" i="18"/>
  <c r="D191" i="18"/>
  <c r="D187" i="18"/>
  <c r="D183" i="18"/>
  <c r="D179" i="18"/>
  <c r="D175" i="18"/>
  <c r="D171" i="18"/>
  <c r="D167" i="18"/>
  <c r="D163" i="18"/>
  <c r="D159" i="18"/>
  <c r="D155" i="18"/>
  <c r="D151" i="18"/>
  <c r="D147" i="18"/>
  <c r="D143" i="18"/>
  <c r="D138" i="18"/>
  <c r="D134" i="18"/>
  <c r="D130" i="18"/>
  <c r="D126" i="18"/>
  <c r="D122" i="18"/>
  <c r="D118" i="18"/>
  <c r="D114" i="18"/>
  <c r="D110" i="18"/>
  <c r="D106" i="18"/>
  <c r="D102" i="18"/>
  <c r="D98" i="18"/>
  <c r="D94" i="18"/>
  <c r="D90" i="18"/>
  <c r="D86" i="18"/>
  <c r="D82" i="18"/>
  <c r="D78" i="18"/>
  <c r="D74" i="18"/>
  <c r="D70" i="18"/>
  <c r="D66" i="18"/>
  <c r="D62" i="18"/>
  <c r="D58" i="18"/>
  <c r="D54" i="18"/>
  <c r="D50" i="18"/>
  <c r="D46" i="18"/>
  <c r="D42" i="18"/>
  <c r="D38" i="18"/>
  <c r="D34" i="18"/>
  <c r="D30" i="18"/>
  <c r="D26" i="18"/>
  <c r="D22" i="18"/>
  <c r="E377" i="18"/>
  <c r="E373" i="18"/>
  <c r="E369" i="18"/>
  <c r="E365" i="18"/>
  <c r="E361" i="18"/>
  <c r="E357" i="18"/>
  <c r="E353" i="18"/>
  <c r="E349" i="18"/>
  <c r="E345" i="18"/>
  <c r="E341" i="18"/>
  <c r="E337" i="18"/>
  <c r="E333" i="18"/>
  <c r="E329" i="18"/>
  <c r="E325" i="18"/>
  <c r="E321" i="18"/>
  <c r="E317" i="18"/>
  <c r="E313" i="18"/>
  <c r="E309" i="18"/>
  <c r="E305" i="18"/>
  <c r="E301" i="18"/>
  <c r="E297" i="18"/>
  <c r="E293" i="18"/>
  <c r="E289" i="18"/>
  <c r="E285" i="18"/>
  <c r="E281" i="18"/>
  <c r="E277" i="18"/>
  <c r="E273" i="18"/>
  <c r="E269" i="18"/>
  <c r="E265" i="18"/>
  <c r="E261" i="18"/>
  <c r="E257" i="18"/>
  <c r="E253" i="18"/>
  <c r="E249" i="18"/>
  <c r="E245" i="18"/>
  <c r="E241" i="18"/>
  <c r="E237" i="18"/>
  <c r="E233" i="18"/>
  <c r="E229" i="18"/>
  <c r="E225" i="18"/>
  <c r="E221" i="18"/>
  <c r="E217" i="18"/>
  <c r="E213" i="18"/>
  <c r="E209" i="18"/>
  <c r="E205" i="18"/>
  <c r="E201" i="18"/>
  <c r="E197" i="18"/>
  <c r="E193" i="18"/>
  <c r="E189" i="18"/>
  <c r="E185" i="18"/>
  <c r="E181" i="18"/>
  <c r="E177" i="18"/>
  <c r="E173" i="18"/>
  <c r="E169" i="18"/>
  <c r="E165" i="18"/>
  <c r="E161" i="18"/>
  <c r="E157" i="18"/>
  <c r="E153" i="18"/>
  <c r="E149" i="18"/>
  <c r="E145" i="18"/>
  <c r="E141" i="18"/>
  <c r="D20" i="18"/>
  <c r="D376" i="18"/>
  <c r="D372" i="18"/>
  <c r="D368" i="18"/>
  <c r="D364" i="18"/>
  <c r="D360" i="18"/>
  <c r="D356" i="18"/>
  <c r="D352" i="18"/>
  <c r="D348" i="18"/>
  <c r="D344" i="18"/>
  <c r="D340" i="18"/>
  <c r="D336" i="18"/>
  <c r="D332" i="18"/>
  <c r="D328" i="18"/>
  <c r="D324" i="18"/>
  <c r="D320" i="18"/>
  <c r="D316" i="18"/>
  <c r="D312" i="18"/>
  <c r="D308" i="18"/>
  <c r="D304" i="18"/>
  <c r="D300" i="18"/>
  <c r="D296" i="18"/>
  <c r="D292" i="18"/>
  <c r="D288" i="18"/>
  <c r="D284" i="18"/>
  <c r="D280" i="18"/>
  <c r="D276" i="18"/>
  <c r="D272" i="18"/>
  <c r="D268" i="18"/>
  <c r="D264" i="18"/>
  <c r="D260" i="18"/>
  <c r="D256" i="18"/>
  <c r="D252" i="18"/>
  <c r="D248" i="18"/>
  <c r="D244" i="18"/>
  <c r="D240" i="18"/>
  <c r="D236" i="18"/>
  <c r="D232" i="18"/>
  <c r="D228" i="18"/>
  <c r="D224" i="18"/>
  <c r="D220" i="18"/>
  <c r="D216" i="18"/>
  <c r="D212" i="18"/>
  <c r="D208" i="18"/>
  <c r="D204" i="18"/>
  <c r="D200" i="18"/>
  <c r="D196" i="18"/>
  <c r="D192" i="18"/>
  <c r="D188" i="18"/>
  <c r="D184" i="18"/>
  <c r="D180" i="18"/>
  <c r="D176" i="18"/>
  <c r="D172" i="18"/>
  <c r="D168" i="18"/>
  <c r="D164" i="18"/>
  <c r="D160" i="18"/>
  <c r="D156" i="18"/>
  <c r="D152" i="18"/>
  <c r="D148" i="18"/>
  <c r="D144" i="18"/>
  <c r="D140" i="18"/>
  <c r="D135" i="18"/>
  <c r="D131" i="18"/>
  <c r="D127" i="18"/>
  <c r="D123" i="18"/>
  <c r="D119" i="18"/>
  <c r="D115" i="18"/>
  <c r="D111" i="18"/>
  <c r="D107" i="18"/>
  <c r="D103" i="18"/>
  <c r="D99" i="18"/>
  <c r="D95" i="18"/>
  <c r="D91" i="18"/>
  <c r="D87" i="18"/>
  <c r="D83" i="18"/>
  <c r="D79" i="18"/>
  <c r="D75" i="18"/>
  <c r="D71" i="18"/>
  <c r="D67" i="18"/>
  <c r="D63" i="18"/>
  <c r="D59" i="18"/>
  <c r="D55" i="18"/>
  <c r="D51" i="18"/>
  <c r="D47" i="18"/>
  <c r="D43" i="18"/>
  <c r="D39" i="18"/>
  <c r="D35" i="18"/>
  <c r="D31" i="18"/>
  <c r="D27" i="18"/>
  <c r="D23" i="18"/>
  <c r="E378" i="18"/>
  <c r="E374" i="18"/>
  <c r="E370" i="18"/>
  <c r="E366" i="18"/>
  <c r="E362" i="18"/>
  <c r="E358" i="18"/>
  <c r="E354" i="18"/>
  <c r="E350" i="18"/>
  <c r="E346" i="18"/>
  <c r="E342" i="18"/>
  <c r="E338" i="18"/>
  <c r="E334" i="18"/>
  <c r="E330" i="18"/>
  <c r="E326" i="18"/>
  <c r="E322" i="18"/>
  <c r="E318" i="18"/>
  <c r="E314" i="18"/>
  <c r="E310" i="18"/>
  <c r="E306" i="18"/>
  <c r="E302" i="18"/>
  <c r="E298" i="18"/>
  <c r="E294" i="18"/>
  <c r="E290" i="18"/>
  <c r="E286" i="18"/>
  <c r="E282" i="18"/>
  <c r="E278" i="18"/>
  <c r="E274" i="18"/>
  <c r="E270" i="18"/>
  <c r="E266" i="18"/>
  <c r="E262" i="18"/>
  <c r="E258" i="18"/>
  <c r="E254" i="18"/>
  <c r="E250" i="18"/>
  <c r="E246" i="18"/>
  <c r="E242" i="18"/>
  <c r="E238" i="18"/>
  <c r="E234" i="18"/>
  <c r="E230" i="18"/>
  <c r="E226" i="18"/>
  <c r="E222" i="18"/>
  <c r="E218" i="18"/>
  <c r="E214" i="18"/>
  <c r="E210" i="18"/>
  <c r="E206" i="18"/>
  <c r="E202" i="18"/>
  <c r="E198" i="18"/>
  <c r="E194" i="18"/>
  <c r="E190" i="18"/>
  <c r="E186" i="18"/>
  <c r="E182" i="18"/>
  <c r="E178" i="18"/>
  <c r="E174" i="18"/>
  <c r="E170" i="18"/>
  <c r="E166" i="18"/>
  <c r="E162" i="18"/>
  <c r="E158" i="18"/>
  <c r="E154" i="18"/>
  <c r="E150" i="18"/>
  <c r="E146" i="18"/>
  <c r="E142" i="18"/>
  <c r="E140" i="17"/>
  <c r="D377" i="18"/>
  <c r="D373" i="18"/>
  <c r="D369" i="18"/>
  <c r="D365" i="18"/>
  <c r="D361" i="18"/>
  <c r="D357" i="18"/>
  <c r="D353" i="18"/>
  <c r="D349" i="18"/>
  <c r="D345" i="18"/>
  <c r="D341" i="18"/>
  <c r="D337" i="18"/>
  <c r="D333" i="18"/>
  <c r="D329" i="18"/>
  <c r="D325" i="18"/>
  <c r="D321" i="18"/>
  <c r="D317" i="18"/>
  <c r="D313" i="18"/>
  <c r="D309" i="18"/>
  <c r="D305" i="18"/>
  <c r="D301" i="18"/>
  <c r="D297" i="18"/>
  <c r="D293" i="18"/>
  <c r="D289" i="18"/>
  <c r="D285" i="18"/>
  <c r="D281" i="18"/>
  <c r="D277" i="18"/>
  <c r="D273" i="18"/>
  <c r="D269" i="18"/>
  <c r="D265" i="18"/>
  <c r="D261" i="18"/>
  <c r="D257" i="18"/>
  <c r="D253" i="18"/>
  <c r="D249" i="18"/>
  <c r="D245" i="18"/>
  <c r="D241" i="18"/>
  <c r="D237" i="18"/>
  <c r="D233" i="18"/>
  <c r="D229" i="18"/>
  <c r="D225" i="18"/>
  <c r="D221" i="18"/>
  <c r="D217" i="18"/>
  <c r="D213" i="18"/>
  <c r="D209" i="18"/>
  <c r="D205" i="18"/>
  <c r="D201" i="18"/>
  <c r="D197" i="18"/>
  <c r="D193" i="18"/>
  <c r="D189" i="18"/>
  <c r="D185" i="18"/>
  <c r="D181" i="18"/>
  <c r="D177" i="18"/>
  <c r="D173" i="18"/>
  <c r="D169" i="18"/>
  <c r="D165" i="18"/>
  <c r="D161" i="18"/>
  <c r="D157" i="18"/>
  <c r="D153" i="18"/>
  <c r="D149" i="18"/>
  <c r="D145" i="18"/>
  <c r="D141" i="18"/>
  <c r="D136" i="18"/>
  <c r="D132" i="18"/>
  <c r="D128" i="18"/>
  <c r="D124" i="18"/>
  <c r="D120" i="18"/>
  <c r="D116" i="18"/>
  <c r="D112" i="18"/>
  <c r="D108" i="18"/>
  <c r="D104" i="18"/>
  <c r="D100" i="18"/>
  <c r="D96" i="18"/>
  <c r="D92" i="18"/>
  <c r="D88" i="18"/>
  <c r="D84" i="18"/>
  <c r="D80" i="18"/>
  <c r="D76" i="18"/>
  <c r="D72" i="18"/>
  <c r="D68" i="18"/>
  <c r="D64" i="18"/>
  <c r="D60" i="18"/>
  <c r="D56" i="18"/>
  <c r="D52" i="18"/>
  <c r="D48" i="18"/>
  <c r="D44" i="18"/>
  <c r="D40" i="18"/>
  <c r="D36" i="18"/>
  <c r="D32" i="18"/>
  <c r="D28" i="18"/>
  <c r="D24" i="18"/>
  <c r="E379" i="18"/>
  <c r="E375" i="18"/>
  <c r="E371" i="18"/>
  <c r="E367" i="18"/>
  <c r="E363" i="18"/>
  <c r="E359" i="18"/>
  <c r="E355" i="18"/>
  <c r="E351" i="18"/>
  <c r="E347" i="18"/>
  <c r="E343" i="18"/>
  <c r="E339" i="18"/>
  <c r="E335" i="18"/>
  <c r="E331" i="18"/>
  <c r="E327" i="18"/>
  <c r="E323" i="18"/>
  <c r="E319" i="18"/>
  <c r="E315" i="18"/>
  <c r="E311" i="18"/>
  <c r="E307" i="18"/>
  <c r="E303" i="18"/>
  <c r="E299" i="18"/>
  <c r="E295" i="18"/>
  <c r="E291" i="18"/>
  <c r="E287" i="18"/>
  <c r="E283" i="18"/>
  <c r="E279" i="18"/>
  <c r="E275" i="18"/>
  <c r="E271" i="18"/>
  <c r="E267" i="18"/>
  <c r="E263" i="18"/>
  <c r="E259" i="18"/>
  <c r="E255" i="18"/>
  <c r="E251" i="18"/>
  <c r="E247" i="18"/>
  <c r="E243" i="18"/>
  <c r="E239" i="18"/>
  <c r="E235" i="18"/>
  <c r="E231" i="18"/>
  <c r="E227" i="18"/>
  <c r="E223" i="18"/>
  <c r="E219" i="18"/>
  <c r="E215" i="18"/>
  <c r="E211" i="18"/>
  <c r="E207" i="18"/>
  <c r="E203" i="18"/>
  <c r="E199" i="18"/>
  <c r="E195" i="18"/>
  <c r="E191" i="18"/>
  <c r="E187" i="18"/>
  <c r="E183" i="18"/>
  <c r="E179" i="18"/>
  <c r="E175" i="18"/>
  <c r="E171" i="18"/>
  <c r="E167" i="18"/>
  <c r="E163" i="18"/>
  <c r="E159" i="18"/>
  <c r="E155" i="18"/>
  <c r="E151" i="18"/>
  <c r="E147" i="18"/>
  <c r="D139" i="18"/>
  <c r="D375" i="17"/>
  <c r="D367" i="17"/>
  <c r="D359" i="17"/>
  <c r="D351" i="17"/>
  <c r="D343" i="17"/>
  <c r="D335" i="17"/>
  <c r="D327" i="17"/>
  <c r="D319" i="17"/>
  <c r="D311" i="17"/>
  <c r="D303" i="17"/>
  <c r="D295" i="17"/>
  <c r="D287" i="17"/>
  <c r="D279" i="17"/>
  <c r="D271" i="17"/>
  <c r="D257" i="17"/>
  <c r="D241" i="17"/>
  <c r="D225" i="17"/>
  <c r="D377" i="17"/>
  <c r="D369" i="17"/>
  <c r="D361" i="17"/>
  <c r="D353" i="17"/>
  <c r="D345" i="17"/>
  <c r="D337" i="17"/>
  <c r="D329" i="17"/>
  <c r="D321" i="17"/>
  <c r="D313" i="17"/>
  <c r="D305" i="17"/>
  <c r="D297" i="17"/>
  <c r="D289" i="17"/>
  <c r="D281" i="17"/>
  <c r="D273" i="17"/>
  <c r="D261" i="17"/>
  <c r="D245" i="17"/>
  <c r="D229" i="17"/>
  <c r="D379" i="17"/>
  <c r="D371" i="17"/>
  <c r="D363" i="17"/>
  <c r="D355" i="17"/>
  <c r="D347" i="17"/>
  <c r="D339" i="17"/>
  <c r="D331" i="17"/>
  <c r="D323" i="17"/>
  <c r="D315" i="17"/>
  <c r="D307" i="17"/>
  <c r="D299" i="17"/>
  <c r="D291" i="17"/>
  <c r="D283" i="17"/>
  <c r="D275" i="17"/>
  <c r="D265" i="17"/>
  <c r="D249" i="17"/>
  <c r="D233" i="17"/>
  <c r="D373" i="17"/>
  <c r="D365" i="17"/>
  <c r="D357" i="17"/>
  <c r="D349" i="17"/>
  <c r="D341" i="17"/>
  <c r="D333" i="17"/>
  <c r="D325" i="17"/>
  <c r="D317" i="17"/>
  <c r="D309" i="17"/>
  <c r="D301" i="17"/>
  <c r="D293" i="17"/>
  <c r="D285" i="17"/>
  <c r="D277" i="17"/>
  <c r="D269" i="17"/>
  <c r="D253" i="17"/>
  <c r="D237" i="17"/>
  <c r="D378" i="17"/>
  <c r="D374" i="17"/>
  <c r="D370" i="17"/>
  <c r="D366" i="17"/>
  <c r="D362" i="17"/>
  <c r="D358" i="17"/>
  <c r="D354" i="17"/>
  <c r="D350" i="17"/>
  <c r="D346" i="17"/>
  <c r="D342" i="17"/>
  <c r="D338" i="17"/>
  <c r="D334" i="17"/>
  <c r="D330" i="17"/>
  <c r="D326" i="17"/>
  <c r="D322" i="17"/>
  <c r="D318" i="17"/>
  <c r="D314" i="17"/>
  <c r="D310" i="17"/>
  <c r="D306" i="17"/>
  <c r="D302" i="17"/>
  <c r="D298" i="17"/>
  <c r="D294" i="17"/>
  <c r="D290" i="17"/>
  <c r="D286" i="17"/>
  <c r="D282" i="17"/>
  <c r="D278" i="17"/>
  <c r="D274" i="17"/>
  <c r="D270" i="17"/>
  <c r="D266" i="17"/>
  <c r="D262" i="17"/>
  <c r="D258" i="17"/>
  <c r="D254" i="17"/>
  <c r="D250" i="17"/>
  <c r="D246" i="17"/>
  <c r="D242" i="17"/>
  <c r="D238" i="17"/>
  <c r="D234" i="17"/>
  <c r="D230" i="17"/>
  <c r="D226" i="17"/>
  <c r="D222" i="17"/>
  <c r="D218" i="17"/>
  <c r="D214" i="17"/>
  <c r="D210" i="17"/>
  <c r="D206" i="17"/>
  <c r="D202" i="17"/>
  <c r="D198" i="17"/>
  <c r="D194" i="17"/>
  <c r="D190" i="17"/>
  <c r="D186" i="17"/>
  <c r="D182" i="17"/>
  <c r="D178" i="17"/>
  <c r="D174" i="17"/>
  <c r="D170" i="17"/>
  <c r="D166" i="17"/>
  <c r="D162" i="17"/>
  <c r="D158" i="17"/>
  <c r="D154" i="17"/>
  <c r="D150" i="17"/>
  <c r="D146" i="17"/>
  <c r="D142" i="17"/>
  <c r="D138" i="17"/>
  <c r="D134" i="17"/>
  <c r="D130" i="17"/>
  <c r="D126" i="17"/>
  <c r="D122" i="17"/>
  <c r="D118" i="17"/>
  <c r="D114" i="17"/>
  <c r="D110" i="17"/>
  <c r="D106" i="17"/>
  <c r="D102" i="17"/>
  <c r="D98" i="17"/>
  <c r="D94" i="17"/>
  <c r="D90" i="17"/>
  <c r="D86" i="17"/>
  <c r="D82" i="17"/>
  <c r="D78" i="17"/>
  <c r="D74" i="17"/>
  <c r="D70" i="17"/>
  <c r="D66" i="17"/>
  <c r="D62" i="17"/>
  <c r="D58" i="17"/>
  <c r="D54" i="17"/>
  <c r="D50" i="17"/>
  <c r="D46" i="17"/>
  <c r="D42" i="17"/>
  <c r="D38" i="17"/>
  <c r="D34" i="17"/>
  <c r="D30" i="17"/>
  <c r="D26" i="17"/>
  <c r="D22" i="17"/>
  <c r="E377" i="17"/>
  <c r="E373" i="17"/>
  <c r="E369" i="17"/>
  <c r="E365" i="17"/>
  <c r="E361" i="17"/>
  <c r="E357" i="17"/>
  <c r="E353" i="17"/>
  <c r="E349" i="17"/>
  <c r="E345" i="17"/>
  <c r="E341" i="17"/>
  <c r="E337" i="17"/>
  <c r="E333" i="17"/>
  <c r="E329" i="17"/>
  <c r="E325" i="17"/>
  <c r="E321" i="17"/>
  <c r="E317" i="17"/>
  <c r="E313" i="17"/>
  <c r="E309" i="17"/>
  <c r="E305" i="17"/>
  <c r="E301" i="17"/>
  <c r="E297" i="17"/>
  <c r="E293" i="17"/>
  <c r="E289" i="17"/>
  <c r="E285" i="17"/>
  <c r="E281" i="17"/>
  <c r="E277" i="17"/>
  <c r="E273" i="17"/>
  <c r="E269" i="17"/>
  <c r="E265" i="17"/>
  <c r="E261" i="17"/>
  <c r="E257" i="17"/>
  <c r="E253" i="17"/>
  <c r="E249" i="17"/>
  <c r="E245" i="17"/>
  <c r="E241" i="17"/>
  <c r="E237" i="17"/>
  <c r="E233" i="17"/>
  <c r="E229" i="17"/>
  <c r="E225" i="17"/>
  <c r="E221" i="17"/>
  <c r="E217" i="17"/>
  <c r="E213" i="17"/>
  <c r="E209" i="17"/>
  <c r="E205" i="17"/>
  <c r="E201" i="17"/>
  <c r="E197" i="17"/>
  <c r="E193" i="17"/>
  <c r="E189" i="17"/>
  <c r="E185" i="17"/>
  <c r="E181" i="17"/>
  <c r="E177" i="17"/>
  <c r="E173" i="17"/>
  <c r="E169" i="17"/>
  <c r="E165" i="17"/>
  <c r="E161" i="17"/>
  <c r="E157" i="17"/>
  <c r="E153" i="17"/>
  <c r="E149" i="17"/>
  <c r="E145" i="17"/>
  <c r="E141" i="17"/>
  <c r="D263" i="17"/>
  <c r="D255" i="17"/>
  <c r="D243" i="17"/>
  <c r="D231" i="17"/>
  <c r="D223" i="17"/>
  <c r="D211" i="17"/>
  <c r="D203" i="17"/>
  <c r="D191" i="17"/>
  <c r="D183" i="17"/>
  <c r="D171" i="17"/>
  <c r="D163" i="17"/>
  <c r="D151" i="17"/>
  <c r="D143" i="17"/>
  <c r="D135" i="17"/>
  <c r="D131" i="17"/>
  <c r="D123" i="17"/>
  <c r="D119" i="17"/>
  <c r="D115" i="17"/>
  <c r="D111" i="17"/>
  <c r="D107" i="17"/>
  <c r="D103" i="17"/>
  <c r="D99" i="17"/>
  <c r="D95" i="17"/>
  <c r="D91" i="17"/>
  <c r="D87" i="17"/>
  <c r="D83" i="17"/>
  <c r="D79" i="17"/>
  <c r="D75" i="17"/>
  <c r="D71" i="17"/>
  <c r="D67" i="17"/>
  <c r="D59" i="17"/>
  <c r="D55" i="17"/>
  <c r="D51" i="17"/>
  <c r="D47" i="17"/>
  <c r="D43" i="17"/>
  <c r="D39" i="17"/>
  <c r="D35" i="17"/>
  <c r="D31" i="17"/>
  <c r="D27" i="17"/>
  <c r="D23" i="17"/>
  <c r="E378" i="17"/>
  <c r="E374" i="17"/>
  <c r="E370" i="17"/>
  <c r="E366" i="17"/>
  <c r="E362" i="17"/>
  <c r="E358" i="17"/>
  <c r="E354" i="17"/>
  <c r="E350" i="17"/>
  <c r="E346" i="17"/>
  <c r="E342" i="17"/>
  <c r="E338" i="17"/>
  <c r="E334" i="17"/>
  <c r="E330" i="17"/>
  <c r="E326" i="17"/>
  <c r="E322" i="17"/>
  <c r="E318" i="17"/>
  <c r="E314" i="17"/>
  <c r="E310" i="17"/>
  <c r="E306" i="17"/>
  <c r="E302" i="17"/>
  <c r="E298" i="17"/>
  <c r="E294" i="17"/>
  <c r="E290" i="17"/>
  <c r="E286" i="17"/>
  <c r="E282" i="17"/>
  <c r="E278" i="17"/>
  <c r="E274" i="17"/>
  <c r="E270" i="17"/>
  <c r="E266" i="17"/>
  <c r="E262" i="17"/>
  <c r="E258" i="17"/>
  <c r="E254" i="17"/>
  <c r="E250" i="17"/>
  <c r="E246" i="17"/>
  <c r="E242" i="17"/>
  <c r="E238" i="17"/>
  <c r="E234" i="17"/>
  <c r="E230" i="17"/>
  <c r="E226" i="17"/>
  <c r="E222" i="17"/>
  <c r="E218" i="17"/>
  <c r="E214" i="17"/>
  <c r="E210" i="17"/>
  <c r="E206" i="17"/>
  <c r="E202" i="17"/>
  <c r="E198" i="17"/>
  <c r="E194" i="17"/>
  <c r="E190" i="17"/>
  <c r="E186" i="17"/>
  <c r="E182" i="17"/>
  <c r="E178" i="17"/>
  <c r="E174" i="17"/>
  <c r="E170" i="17"/>
  <c r="E166" i="17"/>
  <c r="E162" i="17"/>
  <c r="E158" i="17"/>
  <c r="E154" i="17"/>
  <c r="E150" i="17"/>
  <c r="E146" i="17"/>
  <c r="E142" i="17"/>
  <c r="D267" i="17"/>
  <c r="D259" i="17"/>
  <c r="D251" i="17"/>
  <c r="D247" i="17"/>
  <c r="D239" i="17"/>
  <c r="D235" i="17"/>
  <c r="D227" i="17"/>
  <c r="D219" i="17"/>
  <c r="D215" i="17"/>
  <c r="D207" i="17"/>
  <c r="D199" i="17"/>
  <c r="D195" i="17"/>
  <c r="D187" i="17"/>
  <c r="D179" i="17"/>
  <c r="D175" i="17"/>
  <c r="D167" i="17"/>
  <c r="D159" i="17"/>
  <c r="D155" i="17"/>
  <c r="D147" i="17"/>
  <c r="D139" i="17"/>
  <c r="D127" i="17"/>
  <c r="D63" i="17"/>
  <c r="D20" i="17"/>
  <c r="B20" i="17" s="1"/>
  <c r="D376" i="17"/>
  <c r="D372" i="17"/>
  <c r="D368" i="17"/>
  <c r="D364" i="17"/>
  <c r="D360" i="17"/>
  <c r="D356" i="17"/>
  <c r="D352" i="17"/>
  <c r="D348" i="17"/>
  <c r="D344" i="17"/>
  <c r="D340" i="17"/>
  <c r="D336" i="17"/>
  <c r="D332" i="17"/>
  <c r="D328" i="17"/>
  <c r="D324" i="17"/>
  <c r="D320" i="17"/>
  <c r="D316" i="17"/>
  <c r="D312" i="17"/>
  <c r="D308" i="17"/>
  <c r="D304" i="17"/>
  <c r="D300" i="17"/>
  <c r="D296" i="17"/>
  <c r="D292" i="17"/>
  <c r="D288" i="17"/>
  <c r="D284" i="17"/>
  <c r="D280" i="17"/>
  <c r="D276" i="17"/>
  <c r="D272" i="17"/>
  <c r="D268" i="17"/>
  <c r="D264" i="17"/>
  <c r="D260" i="17"/>
  <c r="D256" i="17"/>
  <c r="D252" i="17"/>
  <c r="D248" i="17"/>
  <c r="D244" i="17"/>
  <c r="D240" i="17"/>
  <c r="D236" i="17"/>
  <c r="D232" i="17"/>
  <c r="D228" i="17"/>
  <c r="D224" i="17"/>
  <c r="D220" i="17"/>
  <c r="D216" i="17"/>
  <c r="D212" i="17"/>
  <c r="D208" i="17"/>
  <c r="D204" i="17"/>
  <c r="D200" i="17"/>
  <c r="D196" i="17"/>
  <c r="D192" i="17"/>
  <c r="D188" i="17"/>
  <c r="D184" i="17"/>
  <c r="D180" i="17"/>
  <c r="D176" i="17"/>
  <c r="D172" i="17"/>
  <c r="D168" i="17"/>
  <c r="D164" i="17"/>
  <c r="D160" i="17"/>
  <c r="D156" i="17"/>
  <c r="D152" i="17"/>
  <c r="D148" i="17"/>
  <c r="D144" i="17"/>
  <c r="D140" i="17"/>
  <c r="D136" i="17"/>
  <c r="D132" i="17"/>
  <c r="D128" i="17"/>
  <c r="D124" i="17"/>
  <c r="D120" i="17"/>
  <c r="D116" i="17"/>
  <c r="D112" i="17"/>
  <c r="D108" i="17"/>
  <c r="D104" i="17"/>
  <c r="D100" i="17"/>
  <c r="D96" i="17"/>
  <c r="D92" i="17"/>
  <c r="D88" i="17"/>
  <c r="D84" i="17"/>
  <c r="D80" i="17"/>
  <c r="D76" i="17"/>
  <c r="D72" i="17"/>
  <c r="D68" i="17"/>
  <c r="D64" i="17"/>
  <c r="D60" i="17"/>
  <c r="D56" i="17"/>
  <c r="D52" i="17"/>
  <c r="D48" i="17"/>
  <c r="D44" i="17"/>
  <c r="D40" i="17"/>
  <c r="D36" i="17"/>
  <c r="D32" i="17"/>
  <c r="D28" i="17"/>
  <c r="D24" i="17"/>
  <c r="E379" i="17"/>
  <c r="E375" i="17"/>
  <c r="E371" i="17"/>
  <c r="E367" i="17"/>
  <c r="E363" i="17"/>
  <c r="E359" i="17"/>
  <c r="E355" i="17"/>
  <c r="E351" i="17"/>
  <c r="E347" i="17"/>
  <c r="E343" i="17"/>
  <c r="E339" i="17"/>
  <c r="E335" i="17"/>
  <c r="E331" i="17"/>
  <c r="E327" i="17"/>
  <c r="E323" i="17"/>
  <c r="E319" i="17"/>
  <c r="E315" i="17"/>
  <c r="E311" i="17"/>
  <c r="E307" i="17"/>
  <c r="E303" i="17"/>
  <c r="E299" i="17"/>
  <c r="E295" i="17"/>
  <c r="E291" i="17"/>
  <c r="E287" i="17"/>
  <c r="E283" i="17"/>
  <c r="E279" i="17"/>
  <c r="E275" i="17"/>
  <c r="E271" i="17"/>
  <c r="E267" i="17"/>
  <c r="E263" i="17"/>
  <c r="E259" i="17"/>
  <c r="E255" i="17"/>
  <c r="E251" i="17"/>
  <c r="E247" i="17"/>
  <c r="E243" i="17"/>
  <c r="E239" i="17"/>
  <c r="E235" i="17"/>
  <c r="E231" i="17"/>
  <c r="E227" i="17"/>
  <c r="E223" i="17"/>
  <c r="E219" i="17"/>
  <c r="E215" i="17"/>
  <c r="E211" i="17"/>
  <c r="E207" i="17"/>
  <c r="E203" i="17"/>
  <c r="E199" i="17"/>
  <c r="E195" i="17"/>
  <c r="E191" i="17"/>
  <c r="E187" i="17"/>
  <c r="E183" i="17"/>
  <c r="E179" i="17"/>
  <c r="E175" i="17"/>
  <c r="E171" i="17"/>
  <c r="E167" i="17"/>
  <c r="E163" i="17"/>
  <c r="E159" i="17"/>
  <c r="E155" i="17"/>
  <c r="E151" i="17"/>
  <c r="E147" i="17"/>
  <c r="E143" i="17"/>
  <c r="D221" i="17"/>
  <c r="D217" i="17"/>
  <c r="D213" i="17"/>
  <c r="D209" i="17"/>
  <c r="D205" i="17"/>
  <c r="D201" i="17"/>
  <c r="D197" i="17"/>
  <c r="D193" i="17"/>
  <c r="D189" i="17"/>
  <c r="D185" i="17"/>
  <c r="D181" i="17"/>
  <c r="D177" i="17"/>
  <c r="D173" i="17"/>
  <c r="D169" i="17"/>
  <c r="D165" i="17"/>
  <c r="D161" i="17"/>
  <c r="D157" i="17"/>
  <c r="D153" i="17"/>
  <c r="D149" i="17"/>
  <c r="D145" i="17"/>
  <c r="D141" i="17"/>
  <c r="D137" i="17"/>
  <c r="D133" i="17"/>
  <c r="D129" i="17"/>
  <c r="D125" i="17"/>
  <c r="D121" i="17"/>
  <c r="D117" i="17"/>
  <c r="D113" i="17"/>
  <c r="D109" i="17"/>
  <c r="D105" i="17"/>
  <c r="D101" i="17"/>
  <c r="D97" i="17"/>
  <c r="D93" i="17"/>
  <c r="D89" i="17"/>
  <c r="D85" i="17"/>
  <c r="D81" i="17"/>
  <c r="D77" i="17"/>
  <c r="D73" i="17"/>
  <c r="D69" i="17"/>
  <c r="D65" i="17"/>
  <c r="D61" i="17"/>
  <c r="D57" i="17"/>
  <c r="D53" i="17"/>
  <c r="D49" i="17"/>
  <c r="D45" i="17"/>
  <c r="D41" i="17"/>
  <c r="D37" i="17"/>
  <c r="D33" i="17"/>
  <c r="D29" i="17"/>
  <c r="D25" i="17"/>
  <c r="D21" i="17"/>
  <c r="E376" i="17"/>
  <c r="E372" i="17"/>
  <c r="E368" i="17"/>
  <c r="E364" i="17"/>
  <c r="E360" i="17"/>
  <c r="E356" i="17"/>
  <c r="E352" i="17"/>
  <c r="E348" i="17"/>
  <c r="E344" i="17"/>
  <c r="E340" i="17"/>
  <c r="E336" i="17"/>
  <c r="E332" i="17"/>
  <c r="E328" i="17"/>
  <c r="E324" i="17"/>
  <c r="E320" i="17"/>
  <c r="E316" i="17"/>
  <c r="E312" i="17"/>
  <c r="E308" i="17"/>
  <c r="E304" i="17"/>
  <c r="E300" i="17"/>
  <c r="E296" i="17"/>
  <c r="E292" i="17"/>
  <c r="E288" i="17"/>
  <c r="E284" i="17"/>
  <c r="E280" i="17"/>
  <c r="E276" i="17"/>
  <c r="E272" i="17"/>
  <c r="E268" i="17"/>
  <c r="E264" i="17"/>
  <c r="E260" i="17"/>
  <c r="E256" i="17"/>
  <c r="E252" i="17"/>
  <c r="E248" i="17"/>
  <c r="E244" i="17"/>
  <c r="E240" i="17"/>
  <c r="E236" i="17"/>
  <c r="E232" i="17"/>
  <c r="E228" i="17"/>
  <c r="E224" i="17"/>
  <c r="E220" i="17"/>
  <c r="E216" i="17"/>
  <c r="E212" i="17"/>
  <c r="E208" i="17"/>
  <c r="E204" i="17"/>
  <c r="E200" i="17"/>
  <c r="E196" i="17"/>
  <c r="E192" i="17"/>
  <c r="E188" i="17"/>
  <c r="E184" i="17"/>
  <c r="E180" i="17"/>
  <c r="E176" i="17"/>
  <c r="E172" i="17"/>
  <c r="E168" i="17"/>
  <c r="E164" i="17"/>
  <c r="E160" i="17"/>
  <c r="E156" i="17"/>
  <c r="E152" i="17"/>
  <c r="E148" i="17"/>
  <c r="E144" i="17"/>
  <c r="D31" i="20"/>
  <c r="N8" i="22"/>
  <c r="D31" i="14"/>
  <c r="C30" i="14"/>
  <c r="C29" i="14"/>
  <c r="AN9" i="14"/>
  <c r="AN10" i="14" s="1"/>
  <c r="AN11" i="14" s="1"/>
  <c r="AN12" i="14" s="1"/>
  <c r="AN13" i="14" s="1"/>
  <c r="AN14" i="14" s="1"/>
  <c r="AN15" i="14" s="1"/>
  <c r="AN16" i="14" s="1"/>
  <c r="AN17" i="14" s="1"/>
  <c r="AN18" i="14" s="1"/>
  <c r="AN19" i="14" s="1"/>
  <c r="AN20" i="14" s="1"/>
  <c r="AN21" i="14" s="1"/>
  <c r="AN22" i="14" s="1"/>
  <c r="AN23" i="14" s="1"/>
  <c r="AN24" i="14" s="1"/>
  <c r="AN25" i="14" s="1"/>
  <c r="AN26" i="14" s="1"/>
  <c r="AN27" i="14" s="1"/>
  <c r="AN28" i="14" s="1"/>
  <c r="AN29" i="14" s="1"/>
  <c r="AN30" i="14" s="1"/>
  <c r="AN31" i="14" s="1"/>
  <c r="AN32" i="14" s="1"/>
  <c r="AN33" i="14" s="1"/>
  <c r="AN34" i="14" s="1"/>
  <c r="AN35" i="14" s="1"/>
  <c r="AN36" i="14" s="1"/>
  <c r="AN37" i="14" s="1"/>
  <c r="AN38" i="14" s="1"/>
  <c r="V7" i="14"/>
  <c r="A9" i="20"/>
  <c r="J12" i="20"/>
  <c r="C9" i="20"/>
  <c r="B10" i="20"/>
  <c r="E9" i="20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C28" i="14"/>
  <c r="C20" i="14"/>
  <c r="C24" i="14"/>
  <c r="C12" i="14"/>
  <c r="A7" i="14"/>
  <c r="C16" i="14"/>
  <c r="E34" i="14"/>
  <c r="E35" i="14" s="1"/>
  <c r="E36" i="14" s="1"/>
  <c r="E37" i="14" s="1"/>
  <c r="C8" i="14"/>
  <c r="C25" i="14"/>
  <c r="C21" i="14"/>
  <c r="C17" i="14"/>
  <c r="C13" i="14"/>
  <c r="C9" i="14"/>
  <c r="C26" i="14"/>
  <c r="C22" i="14"/>
  <c r="C18" i="14"/>
  <c r="C14" i="14"/>
  <c r="C10" i="14"/>
  <c r="C27" i="14"/>
  <c r="C23" i="14"/>
  <c r="C19" i="14"/>
  <c r="C15" i="14"/>
  <c r="C11" i="14"/>
  <c r="B379" i="18"/>
  <c r="B378" i="18"/>
  <c r="B377" i="18"/>
  <c r="B376" i="18"/>
  <c r="B375" i="18"/>
  <c r="B374" i="18"/>
  <c r="B373" i="18"/>
  <c r="B372" i="18"/>
  <c r="B371" i="18"/>
  <c r="B370" i="18"/>
  <c r="B369" i="18"/>
  <c r="B368" i="18"/>
  <c r="B367" i="18"/>
  <c r="B366" i="18"/>
  <c r="B365" i="18"/>
  <c r="B364" i="18"/>
  <c r="B363" i="18"/>
  <c r="B362" i="18"/>
  <c r="B361" i="18"/>
  <c r="B360" i="18"/>
  <c r="B359" i="18"/>
  <c r="B358" i="18"/>
  <c r="B357" i="18"/>
  <c r="B356" i="18"/>
  <c r="B355" i="18"/>
  <c r="B354" i="18"/>
  <c r="B353" i="18"/>
  <c r="B352" i="18"/>
  <c r="B351" i="18"/>
  <c r="B350" i="18"/>
  <c r="B349" i="18"/>
  <c r="B348" i="18"/>
  <c r="B347" i="18"/>
  <c r="B346" i="18"/>
  <c r="B345" i="18"/>
  <c r="B344" i="18"/>
  <c r="B343" i="18"/>
  <c r="B342" i="18"/>
  <c r="B341" i="18"/>
  <c r="B340" i="18"/>
  <c r="B339" i="18"/>
  <c r="B338" i="18"/>
  <c r="B337" i="18"/>
  <c r="B336" i="18"/>
  <c r="B335" i="18"/>
  <c r="B334" i="18"/>
  <c r="B333" i="18"/>
  <c r="B332" i="18"/>
  <c r="B331" i="18"/>
  <c r="B330" i="18"/>
  <c r="B329" i="18"/>
  <c r="B328" i="18"/>
  <c r="B327" i="18"/>
  <c r="B326" i="18"/>
  <c r="B325" i="18"/>
  <c r="B324" i="18"/>
  <c r="B323" i="18"/>
  <c r="B322" i="18"/>
  <c r="B321" i="18"/>
  <c r="B320" i="18"/>
  <c r="B319" i="18"/>
  <c r="B318" i="18"/>
  <c r="B317" i="18"/>
  <c r="B316" i="18"/>
  <c r="B315" i="18"/>
  <c r="B314" i="18"/>
  <c r="B313" i="18"/>
  <c r="B312" i="18"/>
  <c r="B311" i="18"/>
  <c r="B310" i="18"/>
  <c r="B309" i="18"/>
  <c r="B308" i="18"/>
  <c r="B307" i="18"/>
  <c r="B306" i="18"/>
  <c r="B305" i="18"/>
  <c r="B304" i="18"/>
  <c r="B303" i="18"/>
  <c r="B302" i="18"/>
  <c r="B301" i="18"/>
  <c r="B300" i="18"/>
  <c r="B299" i="18"/>
  <c r="B298" i="18"/>
  <c r="B297" i="18"/>
  <c r="B296" i="18"/>
  <c r="B295" i="18"/>
  <c r="B294" i="18"/>
  <c r="B293" i="18"/>
  <c r="B292" i="18"/>
  <c r="B291" i="18"/>
  <c r="B290" i="18"/>
  <c r="B289" i="18"/>
  <c r="B288" i="18"/>
  <c r="B287" i="18"/>
  <c r="B286" i="18"/>
  <c r="B285" i="18"/>
  <c r="B284" i="18"/>
  <c r="B283" i="18"/>
  <c r="B282" i="18"/>
  <c r="B281" i="18"/>
  <c r="B280" i="18"/>
  <c r="B279" i="18"/>
  <c r="B278" i="18"/>
  <c r="B277" i="18"/>
  <c r="B276" i="18"/>
  <c r="B275" i="18"/>
  <c r="B274" i="18"/>
  <c r="B273" i="18"/>
  <c r="B272" i="18"/>
  <c r="B271" i="18"/>
  <c r="B270" i="18"/>
  <c r="B269" i="18"/>
  <c r="B268" i="18"/>
  <c r="B267" i="18"/>
  <c r="B266" i="18"/>
  <c r="B265" i="18"/>
  <c r="B264" i="18"/>
  <c r="B263" i="18"/>
  <c r="B262" i="18"/>
  <c r="B261" i="18"/>
  <c r="B260" i="18"/>
  <c r="B259" i="18"/>
  <c r="B258" i="18"/>
  <c r="B257" i="18"/>
  <c r="B256" i="18"/>
  <c r="B255" i="18"/>
  <c r="B254" i="18"/>
  <c r="B253" i="18"/>
  <c r="B252" i="18"/>
  <c r="B251" i="18"/>
  <c r="B250" i="18"/>
  <c r="B249" i="18"/>
  <c r="B248" i="18"/>
  <c r="B247" i="18"/>
  <c r="B246" i="18"/>
  <c r="B245" i="18"/>
  <c r="B244" i="18"/>
  <c r="B243" i="18"/>
  <c r="B242" i="18"/>
  <c r="B241" i="18"/>
  <c r="B240" i="18"/>
  <c r="B239" i="18"/>
  <c r="B238" i="18"/>
  <c r="B237" i="18"/>
  <c r="B236" i="18"/>
  <c r="B235" i="18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6" i="18"/>
  <c r="B215" i="18"/>
  <c r="B214" i="18"/>
  <c r="B213" i="18"/>
  <c r="B212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C379" i="18"/>
  <c r="C378" i="18"/>
  <c r="C377" i="18"/>
  <c r="C376" i="18"/>
  <c r="C375" i="18"/>
  <c r="C374" i="18"/>
  <c r="C373" i="18"/>
  <c r="C372" i="18"/>
  <c r="C371" i="18"/>
  <c r="C370" i="18"/>
  <c r="C369" i="18"/>
  <c r="C368" i="18"/>
  <c r="C367" i="18"/>
  <c r="C366" i="18"/>
  <c r="C365" i="18"/>
  <c r="C364" i="18"/>
  <c r="C363" i="18"/>
  <c r="C362" i="18"/>
  <c r="C361" i="18"/>
  <c r="C360" i="18"/>
  <c r="C359" i="18"/>
  <c r="C358" i="18"/>
  <c r="C357" i="18"/>
  <c r="C356" i="18"/>
  <c r="C355" i="18"/>
  <c r="C354" i="18"/>
  <c r="C353" i="18"/>
  <c r="C352" i="18"/>
  <c r="C351" i="18"/>
  <c r="C350" i="18"/>
  <c r="C349" i="18"/>
  <c r="C348" i="18"/>
  <c r="C347" i="18"/>
  <c r="C346" i="18"/>
  <c r="C345" i="18"/>
  <c r="C344" i="18"/>
  <c r="C343" i="18"/>
  <c r="C342" i="18"/>
  <c r="C341" i="18"/>
  <c r="C340" i="18"/>
  <c r="C339" i="18"/>
  <c r="C338" i="18"/>
  <c r="C337" i="18"/>
  <c r="C336" i="18"/>
  <c r="C335" i="18"/>
  <c r="C334" i="18"/>
  <c r="C333" i="18"/>
  <c r="C332" i="18"/>
  <c r="C331" i="18"/>
  <c r="C330" i="18"/>
  <c r="C329" i="18"/>
  <c r="C328" i="18"/>
  <c r="C327" i="18"/>
  <c r="C326" i="18"/>
  <c r="C325" i="18"/>
  <c r="C324" i="18"/>
  <c r="C323" i="18"/>
  <c r="C322" i="18"/>
  <c r="C321" i="18"/>
  <c r="C320" i="18"/>
  <c r="C319" i="18"/>
  <c r="C318" i="18"/>
  <c r="C317" i="18"/>
  <c r="C316" i="18"/>
  <c r="C315" i="18"/>
  <c r="C314" i="18"/>
  <c r="C313" i="18"/>
  <c r="C312" i="18"/>
  <c r="C311" i="18"/>
  <c r="C310" i="18"/>
  <c r="C309" i="18"/>
  <c r="C308" i="18"/>
  <c r="C307" i="18"/>
  <c r="C306" i="18"/>
  <c r="C305" i="18"/>
  <c r="C304" i="18"/>
  <c r="C303" i="18"/>
  <c r="C302" i="18"/>
  <c r="C301" i="18"/>
  <c r="C300" i="18"/>
  <c r="C299" i="18"/>
  <c r="C298" i="18"/>
  <c r="C297" i="18"/>
  <c r="C296" i="18"/>
  <c r="C295" i="18"/>
  <c r="C294" i="18"/>
  <c r="C293" i="18"/>
  <c r="C292" i="18"/>
  <c r="C291" i="18"/>
  <c r="C290" i="18"/>
  <c r="C289" i="18"/>
  <c r="C288" i="18"/>
  <c r="C287" i="18"/>
  <c r="C286" i="18"/>
  <c r="C285" i="18"/>
  <c r="C284" i="18"/>
  <c r="C283" i="18"/>
  <c r="C282" i="18"/>
  <c r="C281" i="18"/>
  <c r="C280" i="18"/>
  <c r="C279" i="18"/>
  <c r="C278" i="18"/>
  <c r="C277" i="18"/>
  <c r="C276" i="18"/>
  <c r="C275" i="18"/>
  <c r="C274" i="18"/>
  <c r="C273" i="18"/>
  <c r="C272" i="18"/>
  <c r="C271" i="18"/>
  <c r="C270" i="18"/>
  <c r="C269" i="18"/>
  <c r="C268" i="18"/>
  <c r="C267" i="18"/>
  <c r="C266" i="18"/>
  <c r="C265" i="18"/>
  <c r="C264" i="18"/>
  <c r="C263" i="18"/>
  <c r="C262" i="18"/>
  <c r="C261" i="18"/>
  <c r="C260" i="18"/>
  <c r="C259" i="18"/>
  <c r="C258" i="18"/>
  <c r="C257" i="18"/>
  <c r="C256" i="18"/>
  <c r="C255" i="18"/>
  <c r="C254" i="18"/>
  <c r="C253" i="18"/>
  <c r="C252" i="18"/>
  <c r="C251" i="18"/>
  <c r="C250" i="18"/>
  <c r="C249" i="18"/>
  <c r="C248" i="18"/>
  <c r="C247" i="18"/>
  <c r="C246" i="18"/>
  <c r="C245" i="18"/>
  <c r="C244" i="18"/>
  <c r="C243" i="18"/>
  <c r="C242" i="18"/>
  <c r="C241" i="18"/>
  <c r="C240" i="18"/>
  <c r="C239" i="18"/>
  <c r="C238" i="18"/>
  <c r="C237" i="18"/>
  <c r="C236" i="18"/>
  <c r="C235" i="18"/>
  <c r="C234" i="18"/>
  <c r="C233" i="18"/>
  <c r="C232" i="18"/>
  <c r="C231" i="18"/>
  <c r="C230" i="18"/>
  <c r="C229" i="18"/>
  <c r="C228" i="18"/>
  <c r="C227" i="18"/>
  <c r="C226" i="18"/>
  <c r="C225" i="18"/>
  <c r="C224" i="18"/>
  <c r="C223" i="18"/>
  <c r="C222" i="18"/>
  <c r="C221" i="18"/>
  <c r="C220" i="18"/>
  <c r="C219" i="18"/>
  <c r="C218" i="18"/>
  <c r="C217" i="18"/>
  <c r="C216" i="18"/>
  <c r="C215" i="18"/>
  <c r="C214" i="18"/>
  <c r="C213" i="18"/>
  <c r="C212" i="18"/>
  <c r="C211" i="18"/>
  <c r="C210" i="18"/>
  <c r="C209" i="18"/>
  <c r="C208" i="18"/>
  <c r="C207" i="18"/>
  <c r="C206" i="18"/>
  <c r="C205" i="18"/>
  <c r="C204" i="18"/>
  <c r="C203" i="18"/>
  <c r="C202" i="18"/>
  <c r="C201" i="18"/>
  <c r="C200" i="18"/>
  <c r="C197" i="18"/>
  <c r="B196" i="18"/>
  <c r="C193" i="18"/>
  <c r="B192" i="18"/>
  <c r="C189" i="18"/>
  <c r="B188" i="18"/>
  <c r="C185" i="18"/>
  <c r="B184" i="18"/>
  <c r="C181" i="18"/>
  <c r="B180" i="18"/>
  <c r="C177" i="18"/>
  <c r="B176" i="18"/>
  <c r="C173" i="18"/>
  <c r="B172" i="18"/>
  <c r="C169" i="18"/>
  <c r="B168" i="18"/>
  <c r="C165" i="18"/>
  <c r="B164" i="18"/>
  <c r="C161" i="18"/>
  <c r="B160" i="18"/>
  <c r="C157" i="18"/>
  <c r="B156" i="18"/>
  <c r="C153" i="18"/>
  <c r="B152" i="18"/>
  <c r="C149" i="18"/>
  <c r="B148" i="18"/>
  <c r="C145" i="18"/>
  <c r="B144" i="18"/>
  <c r="C141" i="18"/>
  <c r="B140" i="18"/>
  <c r="C194" i="18"/>
  <c r="C190" i="18"/>
  <c r="C186" i="18"/>
  <c r="B173" i="18"/>
  <c r="B169" i="18"/>
  <c r="B165" i="18"/>
  <c r="C162" i="18"/>
  <c r="C158" i="18"/>
  <c r="C154" i="18"/>
  <c r="C150" i="18"/>
  <c r="C146" i="18"/>
  <c r="C142" i="18"/>
  <c r="B199" i="18"/>
  <c r="C196" i="18"/>
  <c r="B195" i="18"/>
  <c r="C192" i="18"/>
  <c r="B191" i="18"/>
  <c r="C188" i="18"/>
  <c r="B187" i="18"/>
  <c r="C184" i="18"/>
  <c r="B183" i="18"/>
  <c r="C180" i="18"/>
  <c r="B179" i="18"/>
  <c r="C176" i="18"/>
  <c r="B175" i="18"/>
  <c r="C172" i="18"/>
  <c r="B171" i="18"/>
  <c r="C168" i="18"/>
  <c r="B167" i="18"/>
  <c r="C164" i="18"/>
  <c r="B163" i="18"/>
  <c r="C160" i="18"/>
  <c r="B159" i="18"/>
  <c r="C156" i="18"/>
  <c r="B155" i="18"/>
  <c r="C152" i="18"/>
  <c r="B151" i="18"/>
  <c r="C148" i="18"/>
  <c r="B147" i="18"/>
  <c r="C144" i="18"/>
  <c r="B143" i="18"/>
  <c r="C140" i="18"/>
  <c r="C198" i="18"/>
  <c r="B193" i="18"/>
  <c r="C182" i="18"/>
  <c r="C178" i="18"/>
  <c r="C174" i="18"/>
  <c r="B161" i="18"/>
  <c r="B157" i="18"/>
  <c r="C199" i="18"/>
  <c r="B198" i="18"/>
  <c r="C195" i="18"/>
  <c r="B194" i="18"/>
  <c r="C191" i="18"/>
  <c r="B190" i="18"/>
  <c r="C187" i="18"/>
  <c r="B186" i="18"/>
  <c r="C183" i="18"/>
  <c r="B182" i="18"/>
  <c r="C179" i="18"/>
  <c r="B178" i="18"/>
  <c r="C175" i="18"/>
  <c r="B174" i="18"/>
  <c r="C171" i="18"/>
  <c r="B170" i="18"/>
  <c r="C167" i="18"/>
  <c r="B166" i="18"/>
  <c r="C163" i="18"/>
  <c r="B162" i="18"/>
  <c r="C159" i="18"/>
  <c r="B158" i="18"/>
  <c r="C155" i="18"/>
  <c r="B154" i="18"/>
  <c r="C151" i="18"/>
  <c r="B150" i="18"/>
  <c r="C147" i="18"/>
  <c r="B146" i="18"/>
  <c r="C143" i="18"/>
  <c r="B142" i="18"/>
  <c r="B197" i="18"/>
  <c r="B189" i="18"/>
  <c r="B185" i="18"/>
  <c r="B181" i="18"/>
  <c r="B177" i="18"/>
  <c r="C170" i="18"/>
  <c r="C166" i="18"/>
  <c r="B153" i="18"/>
  <c r="B149" i="18"/>
  <c r="B145" i="18"/>
  <c r="B141" i="18"/>
  <c r="G19" i="18"/>
  <c r="K45" i="23" s="1"/>
  <c r="B20" i="18"/>
  <c r="C20" i="18"/>
  <c r="E20" i="18" s="1"/>
  <c r="B379" i="17"/>
  <c r="B378" i="17"/>
  <c r="B377" i="17"/>
  <c r="B376" i="17"/>
  <c r="B375" i="17"/>
  <c r="B374" i="17"/>
  <c r="B373" i="17"/>
  <c r="B372" i="17"/>
  <c r="B371" i="17"/>
  <c r="B370" i="17"/>
  <c r="B369" i="17"/>
  <c r="B368" i="17"/>
  <c r="B367" i="17"/>
  <c r="B366" i="17"/>
  <c r="B365" i="17"/>
  <c r="B364" i="17"/>
  <c r="B363" i="17"/>
  <c r="B362" i="17"/>
  <c r="B361" i="17"/>
  <c r="B360" i="17"/>
  <c r="B359" i="17"/>
  <c r="B358" i="17"/>
  <c r="B357" i="17"/>
  <c r="B356" i="17"/>
  <c r="B355" i="17"/>
  <c r="B354" i="17"/>
  <c r="B353" i="17"/>
  <c r="B352" i="17"/>
  <c r="B351" i="17"/>
  <c r="B350" i="17"/>
  <c r="B349" i="17"/>
  <c r="B348" i="17"/>
  <c r="B347" i="17"/>
  <c r="B346" i="17"/>
  <c r="B345" i="17"/>
  <c r="B344" i="17"/>
  <c r="B343" i="17"/>
  <c r="B342" i="17"/>
  <c r="B341" i="17"/>
  <c r="B340" i="17"/>
  <c r="B339" i="17"/>
  <c r="B338" i="17"/>
  <c r="B337" i="17"/>
  <c r="B336" i="17"/>
  <c r="B335" i="17"/>
  <c r="B334" i="17"/>
  <c r="B333" i="17"/>
  <c r="B332" i="17"/>
  <c r="B331" i="17"/>
  <c r="B330" i="17"/>
  <c r="B329" i="17"/>
  <c r="B328" i="17"/>
  <c r="B327" i="17"/>
  <c r="B326" i="17"/>
  <c r="B325" i="17"/>
  <c r="B324" i="17"/>
  <c r="B323" i="17"/>
  <c r="B322" i="17"/>
  <c r="B321" i="17"/>
  <c r="B320" i="17"/>
  <c r="B319" i="17"/>
  <c r="B318" i="17"/>
  <c r="B317" i="17"/>
  <c r="B316" i="17"/>
  <c r="B315" i="17"/>
  <c r="B314" i="17"/>
  <c r="B313" i="17"/>
  <c r="B312" i="17"/>
  <c r="B311" i="17"/>
  <c r="B310" i="17"/>
  <c r="B309" i="17"/>
  <c r="B308" i="17"/>
  <c r="B307" i="17"/>
  <c r="B306" i="17"/>
  <c r="B305" i="17"/>
  <c r="B304" i="17"/>
  <c r="B303" i="17"/>
  <c r="B302" i="17"/>
  <c r="B301" i="17"/>
  <c r="B300" i="17"/>
  <c r="B299" i="17"/>
  <c r="B298" i="17"/>
  <c r="B297" i="17"/>
  <c r="B296" i="17"/>
  <c r="B295" i="17"/>
  <c r="B294" i="17"/>
  <c r="B293" i="17"/>
  <c r="B292" i="17"/>
  <c r="B291" i="17"/>
  <c r="B290" i="17"/>
  <c r="B289" i="17"/>
  <c r="B288" i="17"/>
  <c r="B287" i="17"/>
  <c r="B286" i="17"/>
  <c r="B285" i="17"/>
  <c r="B284" i="17"/>
  <c r="B283" i="17"/>
  <c r="B282" i="17"/>
  <c r="B281" i="17"/>
  <c r="B280" i="17"/>
  <c r="B279" i="17"/>
  <c r="B278" i="17"/>
  <c r="B277" i="17"/>
  <c r="B276" i="17"/>
  <c r="B275" i="17"/>
  <c r="B274" i="17"/>
  <c r="B273" i="17"/>
  <c r="B272" i="17"/>
  <c r="B271" i="17"/>
  <c r="B270" i="17"/>
  <c r="B269" i="17"/>
  <c r="B268" i="17"/>
  <c r="B267" i="17"/>
  <c r="B266" i="17"/>
  <c r="B265" i="17"/>
  <c r="B264" i="17"/>
  <c r="B263" i="17"/>
  <c r="B262" i="17"/>
  <c r="B261" i="17"/>
  <c r="B260" i="17"/>
  <c r="B259" i="17"/>
  <c r="B258" i="17"/>
  <c r="B257" i="17"/>
  <c r="B256" i="17"/>
  <c r="B255" i="17"/>
  <c r="B254" i="17"/>
  <c r="B253" i="17"/>
  <c r="B252" i="17"/>
  <c r="B251" i="17"/>
  <c r="B250" i="17"/>
  <c r="B249" i="17"/>
  <c r="B248" i="17"/>
  <c r="B247" i="17"/>
  <c r="B246" i="17"/>
  <c r="B245" i="17"/>
  <c r="B244" i="17"/>
  <c r="B243" i="17"/>
  <c r="B242" i="17"/>
  <c r="B241" i="17"/>
  <c r="B240" i="17"/>
  <c r="B239" i="17"/>
  <c r="B238" i="17"/>
  <c r="B237" i="17"/>
  <c r="B236" i="17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6" i="17"/>
  <c r="B215" i="17"/>
  <c r="B214" i="17"/>
  <c r="B213" i="17"/>
  <c r="B212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2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9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G19" i="17"/>
  <c r="G45" i="23" s="1"/>
  <c r="C20" i="17"/>
  <c r="F9" i="16"/>
  <c r="D9" i="16" s="1"/>
  <c r="C140" i="16"/>
  <c r="H46" i="17"/>
  <c r="J36" i="17"/>
  <c r="H38" i="18"/>
  <c r="H45" i="17"/>
  <c r="H32" i="18"/>
  <c r="H37" i="17"/>
  <c r="H43" i="18"/>
  <c r="H40" i="18"/>
  <c r="H39" i="18"/>
  <c r="H37" i="18"/>
  <c r="J46" i="18"/>
  <c r="H36" i="17"/>
  <c r="J35" i="18"/>
  <c r="H47" i="18"/>
  <c r="J33" i="18"/>
  <c r="H48" i="17"/>
  <c r="H34" i="18"/>
  <c r="J39" i="17"/>
  <c r="H35" i="17"/>
  <c r="J41" i="18"/>
  <c r="H42" i="18"/>
  <c r="H49" i="18"/>
  <c r="J48" i="17"/>
  <c r="H35" i="18"/>
  <c r="J43" i="17"/>
  <c r="J45" i="18"/>
  <c r="H41" i="18"/>
  <c r="H44" i="17"/>
  <c r="H45" i="18"/>
  <c r="H44" i="18"/>
  <c r="J49" i="17"/>
  <c r="J40" i="17"/>
  <c r="J42" i="18"/>
  <c r="J34" i="17"/>
  <c r="H47" i="17"/>
  <c r="J38" i="17"/>
  <c r="H38" i="17"/>
  <c r="H42" i="17"/>
  <c r="J36" i="18"/>
  <c r="J34" i="18"/>
  <c r="H31" i="18"/>
  <c r="J44" i="18"/>
  <c r="H41" i="17"/>
  <c r="J39" i="18"/>
  <c r="J47" i="17"/>
  <c r="H34" i="17"/>
  <c r="J38" i="18"/>
  <c r="H46" i="18"/>
  <c r="H33" i="17"/>
  <c r="J40" i="18"/>
  <c r="J44" i="17"/>
  <c r="J31" i="17"/>
  <c r="J43" i="18"/>
  <c r="J32" i="17"/>
  <c r="H31" i="17"/>
  <c r="J37" i="17"/>
  <c r="J46" i="17"/>
  <c r="H40" i="17"/>
  <c r="J45" i="17"/>
  <c r="J31" i="18"/>
  <c r="H33" i="18"/>
  <c r="J41" i="17"/>
  <c r="H49" i="17"/>
  <c r="J48" i="18"/>
  <c r="J33" i="17"/>
  <c r="J32" i="18"/>
  <c r="H43" i="17"/>
  <c r="J35" i="17"/>
  <c r="J37" i="18"/>
  <c r="J47" i="18"/>
  <c r="H39" i="17"/>
  <c r="H36" i="18"/>
  <c r="J49" i="18"/>
  <c r="J42" i="17"/>
  <c r="H32" i="17"/>
  <c r="H48" i="18"/>
  <c r="AD40" i="14" l="1"/>
  <c r="AC40" i="14"/>
  <c r="AI40" i="14"/>
  <c r="AH40" i="14"/>
  <c r="E20" i="17"/>
  <c r="E140" i="16"/>
  <c r="E144" i="16"/>
  <c r="E148" i="16"/>
  <c r="E152" i="16"/>
  <c r="E156" i="16"/>
  <c r="E160" i="16"/>
  <c r="E164" i="16"/>
  <c r="E168" i="16"/>
  <c r="E172" i="16"/>
  <c r="E176" i="16"/>
  <c r="E180" i="16"/>
  <c r="E184" i="16"/>
  <c r="E188" i="16"/>
  <c r="E192" i="16"/>
  <c r="E196" i="16"/>
  <c r="E200" i="16"/>
  <c r="E204" i="16"/>
  <c r="E208" i="16"/>
  <c r="E212" i="16"/>
  <c r="E216" i="16"/>
  <c r="E220" i="16"/>
  <c r="E224" i="16"/>
  <c r="E228" i="16"/>
  <c r="E232" i="16"/>
  <c r="E236" i="16"/>
  <c r="E240" i="16"/>
  <c r="E244" i="16"/>
  <c r="E248" i="16"/>
  <c r="E252" i="16"/>
  <c r="E256" i="16"/>
  <c r="E260" i="16"/>
  <c r="E264" i="16"/>
  <c r="E268" i="16"/>
  <c r="E272" i="16"/>
  <c r="E276" i="16"/>
  <c r="E280" i="16"/>
  <c r="E284" i="16"/>
  <c r="E288" i="16"/>
  <c r="E292" i="16"/>
  <c r="E296" i="16"/>
  <c r="E300" i="16"/>
  <c r="E304" i="16"/>
  <c r="E308" i="16"/>
  <c r="E312" i="16"/>
  <c r="E316" i="16"/>
  <c r="E320" i="16"/>
  <c r="E324" i="16"/>
  <c r="E328" i="16"/>
  <c r="E332" i="16"/>
  <c r="E336" i="16"/>
  <c r="E340" i="16"/>
  <c r="E344" i="16"/>
  <c r="E348" i="16"/>
  <c r="E352" i="16"/>
  <c r="E356" i="16"/>
  <c r="E360" i="16"/>
  <c r="E364" i="16"/>
  <c r="E368" i="16"/>
  <c r="E372" i="16"/>
  <c r="E376" i="16"/>
  <c r="D140" i="16"/>
  <c r="D144" i="16"/>
  <c r="D148" i="16"/>
  <c r="D152" i="16"/>
  <c r="D156" i="16"/>
  <c r="D160" i="16"/>
  <c r="D164" i="16"/>
  <c r="D168" i="16"/>
  <c r="D172" i="16"/>
  <c r="D176" i="16"/>
  <c r="D180" i="16"/>
  <c r="D184" i="16"/>
  <c r="D188" i="16"/>
  <c r="D192" i="16"/>
  <c r="D196" i="16"/>
  <c r="D200" i="16"/>
  <c r="D204" i="16"/>
  <c r="D208" i="16"/>
  <c r="D212" i="16"/>
  <c r="D216" i="16"/>
  <c r="D220" i="16"/>
  <c r="D224" i="16"/>
  <c r="D228" i="16"/>
  <c r="D232" i="16"/>
  <c r="D236" i="16"/>
  <c r="D240" i="16"/>
  <c r="D244" i="16"/>
  <c r="D248" i="16"/>
  <c r="D252" i="16"/>
  <c r="D256" i="16"/>
  <c r="D260" i="16"/>
  <c r="D264" i="16"/>
  <c r="D268" i="16"/>
  <c r="D272" i="16"/>
  <c r="D276" i="16"/>
  <c r="D280" i="16"/>
  <c r="D284" i="16"/>
  <c r="D288" i="16"/>
  <c r="D292" i="16"/>
  <c r="D296" i="16"/>
  <c r="D300" i="16"/>
  <c r="D304" i="16"/>
  <c r="D308" i="16"/>
  <c r="D312" i="16"/>
  <c r="D316" i="16"/>
  <c r="D320" i="16"/>
  <c r="D324" i="16"/>
  <c r="D328" i="16"/>
  <c r="D332" i="16"/>
  <c r="D336" i="16"/>
  <c r="D340" i="16"/>
  <c r="D344" i="16"/>
  <c r="D348" i="16"/>
  <c r="D352" i="16"/>
  <c r="D356" i="16"/>
  <c r="D360" i="16"/>
  <c r="D364" i="16"/>
  <c r="D368" i="16"/>
  <c r="D372" i="16"/>
  <c r="D376" i="16"/>
  <c r="E143" i="16"/>
  <c r="E147" i="16"/>
  <c r="E151" i="16"/>
  <c r="E155" i="16"/>
  <c r="E159" i="16"/>
  <c r="E163" i="16"/>
  <c r="E167" i="16"/>
  <c r="E171" i="16"/>
  <c r="E175" i="16"/>
  <c r="E179" i="16"/>
  <c r="E183" i="16"/>
  <c r="E187" i="16"/>
  <c r="E191" i="16"/>
  <c r="E195" i="16"/>
  <c r="E199" i="16"/>
  <c r="E203" i="16"/>
  <c r="E207" i="16"/>
  <c r="E211" i="16"/>
  <c r="E215" i="16"/>
  <c r="E219" i="16"/>
  <c r="E223" i="16"/>
  <c r="E227" i="16"/>
  <c r="E231" i="16"/>
  <c r="E235" i="16"/>
  <c r="E239" i="16"/>
  <c r="E243" i="16"/>
  <c r="E247" i="16"/>
  <c r="E251" i="16"/>
  <c r="E255" i="16"/>
  <c r="E259" i="16"/>
  <c r="E263" i="16"/>
  <c r="E267" i="16"/>
  <c r="E271" i="16"/>
  <c r="E275" i="16"/>
  <c r="E279" i="16"/>
  <c r="E283" i="16"/>
  <c r="E287" i="16"/>
  <c r="E291" i="16"/>
  <c r="E295" i="16"/>
  <c r="E299" i="16"/>
  <c r="E303" i="16"/>
  <c r="E307" i="16"/>
  <c r="E311" i="16"/>
  <c r="E315" i="16"/>
  <c r="E319" i="16"/>
  <c r="E323" i="16"/>
  <c r="E327" i="16"/>
  <c r="E331" i="16"/>
  <c r="E335" i="16"/>
  <c r="E339" i="16"/>
  <c r="E343" i="16"/>
  <c r="E347" i="16"/>
  <c r="E351" i="16"/>
  <c r="E355" i="16"/>
  <c r="E359" i="16"/>
  <c r="E363" i="16"/>
  <c r="E367" i="16"/>
  <c r="E371" i="16"/>
  <c r="E375" i="16"/>
  <c r="E379" i="16"/>
  <c r="D143" i="16"/>
  <c r="D147" i="16"/>
  <c r="D151" i="16"/>
  <c r="D155" i="16"/>
  <c r="D159" i="16"/>
  <c r="D163" i="16"/>
  <c r="D167" i="16"/>
  <c r="D171" i="16"/>
  <c r="D175" i="16"/>
  <c r="D179" i="16"/>
  <c r="D183" i="16"/>
  <c r="D187" i="16"/>
  <c r="D191" i="16"/>
  <c r="D195" i="16"/>
  <c r="D199" i="16"/>
  <c r="D203" i="16"/>
  <c r="D207" i="16"/>
  <c r="D211" i="16"/>
  <c r="D215" i="16"/>
  <c r="D219" i="16"/>
  <c r="D223" i="16"/>
  <c r="D227" i="16"/>
  <c r="D231" i="16"/>
  <c r="D235" i="16"/>
  <c r="D239" i="16"/>
  <c r="D243" i="16"/>
  <c r="D247" i="16"/>
  <c r="D251" i="16"/>
  <c r="D255" i="16"/>
  <c r="D259" i="16"/>
  <c r="D263" i="16"/>
  <c r="D267" i="16"/>
  <c r="D271" i="16"/>
  <c r="D275" i="16"/>
  <c r="D279" i="16"/>
  <c r="D283" i="16"/>
  <c r="D287" i="16"/>
  <c r="D291" i="16"/>
  <c r="D295" i="16"/>
  <c r="D299" i="16"/>
  <c r="D303" i="16"/>
  <c r="D307" i="16"/>
  <c r="D311" i="16"/>
  <c r="D315" i="16"/>
  <c r="D319" i="16"/>
  <c r="D323" i="16"/>
  <c r="D327" i="16"/>
  <c r="D331" i="16"/>
  <c r="D335" i="16"/>
  <c r="D339" i="16"/>
  <c r="D343" i="16"/>
  <c r="D347" i="16"/>
  <c r="D351" i="16"/>
  <c r="D355" i="16"/>
  <c r="D359" i="16"/>
  <c r="D363" i="16"/>
  <c r="D367" i="16"/>
  <c r="D371" i="16"/>
  <c r="D375" i="16"/>
  <c r="D379" i="16"/>
  <c r="E142" i="16"/>
  <c r="E146" i="16"/>
  <c r="E150" i="16"/>
  <c r="E154" i="16"/>
  <c r="E158" i="16"/>
  <c r="E162" i="16"/>
  <c r="E166" i="16"/>
  <c r="E170" i="16"/>
  <c r="E174" i="16"/>
  <c r="E178" i="16"/>
  <c r="E182" i="16"/>
  <c r="E186" i="16"/>
  <c r="E190" i="16"/>
  <c r="E194" i="16"/>
  <c r="E198" i="16"/>
  <c r="E202" i="16"/>
  <c r="E206" i="16"/>
  <c r="E210" i="16"/>
  <c r="E214" i="16"/>
  <c r="E218" i="16"/>
  <c r="E222" i="16"/>
  <c r="E226" i="16"/>
  <c r="E230" i="16"/>
  <c r="E234" i="16"/>
  <c r="E238" i="16"/>
  <c r="E242" i="16"/>
  <c r="E246" i="16"/>
  <c r="E250" i="16"/>
  <c r="E254" i="16"/>
  <c r="E258" i="16"/>
  <c r="E262" i="16"/>
  <c r="E266" i="16"/>
  <c r="E270" i="16"/>
  <c r="E274" i="16"/>
  <c r="E278" i="16"/>
  <c r="E282" i="16"/>
  <c r="E286" i="16"/>
  <c r="E290" i="16"/>
  <c r="E294" i="16"/>
  <c r="E298" i="16"/>
  <c r="E302" i="16"/>
  <c r="E306" i="16"/>
  <c r="E310" i="16"/>
  <c r="E314" i="16"/>
  <c r="E318" i="16"/>
  <c r="E322" i="16"/>
  <c r="E326" i="16"/>
  <c r="E330" i="16"/>
  <c r="E334" i="16"/>
  <c r="E338" i="16"/>
  <c r="E342" i="16"/>
  <c r="E346" i="16"/>
  <c r="E350" i="16"/>
  <c r="E354" i="16"/>
  <c r="E358" i="16"/>
  <c r="E362" i="16"/>
  <c r="E366" i="16"/>
  <c r="E370" i="16"/>
  <c r="E374" i="16"/>
  <c r="E378" i="16"/>
  <c r="D142" i="16"/>
  <c r="D146" i="16"/>
  <c r="D150" i="16"/>
  <c r="D154" i="16"/>
  <c r="D158" i="16"/>
  <c r="D162" i="16"/>
  <c r="D166" i="16"/>
  <c r="D170" i="16"/>
  <c r="D174" i="16"/>
  <c r="D178" i="16"/>
  <c r="D182" i="16"/>
  <c r="D186" i="16"/>
  <c r="D190" i="16"/>
  <c r="D194" i="16"/>
  <c r="D198" i="16"/>
  <c r="D202" i="16"/>
  <c r="D206" i="16"/>
  <c r="D210" i="16"/>
  <c r="D214" i="16"/>
  <c r="D218" i="16"/>
  <c r="D222" i="16"/>
  <c r="D226" i="16"/>
  <c r="D230" i="16"/>
  <c r="D234" i="16"/>
  <c r="D238" i="16"/>
  <c r="D242" i="16"/>
  <c r="D246" i="16"/>
  <c r="D250" i="16"/>
  <c r="D254" i="16"/>
  <c r="D258" i="16"/>
  <c r="D262" i="16"/>
  <c r="D266" i="16"/>
  <c r="D270" i="16"/>
  <c r="D274" i="16"/>
  <c r="D278" i="16"/>
  <c r="D282" i="16"/>
  <c r="D286" i="16"/>
  <c r="D290" i="16"/>
  <c r="D294" i="16"/>
  <c r="D298" i="16"/>
  <c r="D302" i="16"/>
  <c r="D306" i="16"/>
  <c r="D310" i="16"/>
  <c r="D314" i="16"/>
  <c r="D318" i="16"/>
  <c r="D322" i="16"/>
  <c r="D326" i="16"/>
  <c r="D330" i="16"/>
  <c r="D334" i="16"/>
  <c r="D338" i="16"/>
  <c r="D342" i="16"/>
  <c r="D346" i="16"/>
  <c r="D350" i="16"/>
  <c r="D354" i="16"/>
  <c r="D358" i="16"/>
  <c r="D362" i="16"/>
  <c r="D366" i="16"/>
  <c r="D370" i="16"/>
  <c r="D374" i="16"/>
  <c r="D378" i="16"/>
  <c r="E141" i="16"/>
  <c r="E145" i="16"/>
  <c r="E149" i="16"/>
  <c r="E153" i="16"/>
  <c r="E157" i="16"/>
  <c r="E161" i="16"/>
  <c r="E165" i="16"/>
  <c r="E169" i="16"/>
  <c r="E173" i="16"/>
  <c r="E177" i="16"/>
  <c r="E181" i="16"/>
  <c r="E185" i="16"/>
  <c r="E189" i="16"/>
  <c r="E193" i="16"/>
  <c r="E197" i="16"/>
  <c r="E201" i="16"/>
  <c r="E205" i="16"/>
  <c r="E209" i="16"/>
  <c r="E213" i="16"/>
  <c r="E217" i="16"/>
  <c r="E221" i="16"/>
  <c r="E225" i="16"/>
  <c r="E229" i="16"/>
  <c r="E233" i="16"/>
  <c r="E237" i="16"/>
  <c r="E241" i="16"/>
  <c r="E245" i="16"/>
  <c r="E249" i="16"/>
  <c r="E253" i="16"/>
  <c r="E257" i="16"/>
  <c r="E261" i="16"/>
  <c r="E265" i="16"/>
  <c r="E269" i="16"/>
  <c r="E273" i="16"/>
  <c r="E277" i="16"/>
  <c r="E281" i="16"/>
  <c r="E285" i="16"/>
  <c r="E289" i="16"/>
  <c r="E293" i="16"/>
  <c r="E297" i="16"/>
  <c r="E301" i="16"/>
  <c r="E305" i="16"/>
  <c r="E309" i="16"/>
  <c r="E313" i="16"/>
  <c r="E317" i="16"/>
  <c r="E321" i="16"/>
  <c r="E325" i="16"/>
  <c r="E329" i="16"/>
  <c r="E333" i="16"/>
  <c r="E337" i="16"/>
  <c r="E341" i="16"/>
  <c r="E345" i="16"/>
  <c r="E349" i="16"/>
  <c r="E353" i="16"/>
  <c r="E357" i="16"/>
  <c r="E361" i="16"/>
  <c r="E365" i="16"/>
  <c r="E369" i="16"/>
  <c r="E373" i="16"/>
  <c r="E377" i="16"/>
  <c r="D141" i="16"/>
  <c r="D145" i="16"/>
  <c r="D149" i="16"/>
  <c r="D153" i="16"/>
  <c r="D157" i="16"/>
  <c r="D161" i="16"/>
  <c r="D165" i="16"/>
  <c r="D169" i="16"/>
  <c r="D173" i="16"/>
  <c r="D177" i="16"/>
  <c r="D181" i="16"/>
  <c r="D185" i="16"/>
  <c r="D189" i="16"/>
  <c r="D193" i="16"/>
  <c r="D197" i="16"/>
  <c r="D201" i="16"/>
  <c r="D205" i="16"/>
  <c r="D209" i="16"/>
  <c r="D213" i="16"/>
  <c r="D217" i="16"/>
  <c r="D221" i="16"/>
  <c r="D225" i="16"/>
  <c r="D229" i="16"/>
  <c r="D233" i="16"/>
  <c r="D237" i="16"/>
  <c r="D241" i="16"/>
  <c r="D245" i="16"/>
  <c r="D249" i="16"/>
  <c r="D253" i="16"/>
  <c r="D257" i="16"/>
  <c r="D261" i="16"/>
  <c r="D265" i="16"/>
  <c r="D269" i="16"/>
  <c r="D273" i="16"/>
  <c r="D277" i="16"/>
  <c r="D281" i="16"/>
  <c r="D285" i="16"/>
  <c r="D289" i="16"/>
  <c r="D293" i="16"/>
  <c r="D297" i="16"/>
  <c r="D301" i="16"/>
  <c r="D305" i="16"/>
  <c r="D309" i="16"/>
  <c r="D313" i="16"/>
  <c r="D317" i="16"/>
  <c r="D321" i="16"/>
  <c r="D325" i="16"/>
  <c r="D329" i="16"/>
  <c r="D333" i="16"/>
  <c r="D337" i="16"/>
  <c r="D341" i="16"/>
  <c r="D345" i="16"/>
  <c r="D349" i="16"/>
  <c r="D353" i="16"/>
  <c r="D357" i="16"/>
  <c r="D361" i="16"/>
  <c r="D365" i="16"/>
  <c r="D369" i="16"/>
  <c r="D373" i="16"/>
  <c r="D377" i="16"/>
  <c r="M74" i="23"/>
  <c r="M71" i="23"/>
  <c r="M58" i="23"/>
  <c r="M63" i="23"/>
  <c r="M70" i="23"/>
  <c r="M66" i="23"/>
  <c r="M69" i="23"/>
  <c r="M64" i="23"/>
  <c r="M56" i="23"/>
  <c r="M72" i="23"/>
  <c r="M68" i="23"/>
  <c r="M60" i="23"/>
  <c r="M61" i="23"/>
  <c r="M65" i="23"/>
  <c r="M67" i="23"/>
  <c r="M73" i="23"/>
  <c r="M57" i="23"/>
  <c r="M62" i="23"/>
  <c r="M59" i="23"/>
  <c r="B21" i="18"/>
  <c r="C21" i="18"/>
  <c r="E21" i="18" s="1"/>
  <c r="I60" i="23"/>
  <c r="I59" i="23"/>
  <c r="I63" i="23"/>
  <c r="I56" i="23"/>
  <c r="I68" i="23"/>
  <c r="I69" i="23"/>
  <c r="I73" i="23"/>
  <c r="I58" i="23"/>
  <c r="I67" i="23"/>
  <c r="I71" i="23"/>
  <c r="I74" i="23"/>
  <c r="I64" i="23"/>
  <c r="I66" i="23"/>
  <c r="I61" i="23"/>
  <c r="I72" i="23"/>
  <c r="I57" i="23"/>
  <c r="I62" i="23"/>
  <c r="I65" i="23"/>
  <c r="I70" i="23"/>
  <c r="D32" i="20"/>
  <c r="D32" i="14"/>
  <c r="C31" i="14"/>
  <c r="A10" i="20"/>
  <c r="R9" i="22"/>
  <c r="N9" i="22"/>
  <c r="B19" i="16"/>
  <c r="G8" i="20" s="1"/>
  <c r="G40" i="20" s="1"/>
  <c r="C10" i="20"/>
  <c r="B11" i="20"/>
  <c r="J13" i="20"/>
  <c r="E38" i="14"/>
  <c r="I31" i="18"/>
  <c r="L56" i="23" s="1"/>
  <c r="I35" i="18"/>
  <c r="L60" i="23" s="1"/>
  <c r="I36" i="18"/>
  <c r="L61" i="23" s="1"/>
  <c r="I40" i="18"/>
  <c r="L65" i="23" s="1"/>
  <c r="I44" i="18"/>
  <c r="L69" i="23" s="1"/>
  <c r="I48" i="18"/>
  <c r="L73" i="23" s="1"/>
  <c r="I32" i="18"/>
  <c r="L57" i="23" s="1"/>
  <c r="I37" i="18"/>
  <c r="L62" i="23" s="1"/>
  <c r="I41" i="18"/>
  <c r="L66" i="23" s="1"/>
  <c r="I45" i="18"/>
  <c r="L70" i="23" s="1"/>
  <c r="I49" i="18"/>
  <c r="L74" i="23" s="1"/>
  <c r="I33" i="18"/>
  <c r="L58" i="23" s="1"/>
  <c r="I38" i="18"/>
  <c r="L63" i="23" s="1"/>
  <c r="I42" i="18"/>
  <c r="L67" i="23" s="1"/>
  <c r="I46" i="18"/>
  <c r="L71" i="23" s="1"/>
  <c r="I34" i="18"/>
  <c r="L59" i="23" s="1"/>
  <c r="I39" i="18"/>
  <c r="L64" i="23" s="1"/>
  <c r="I43" i="18"/>
  <c r="L68" i="23" s="1"/>
  <c r="I47" i="18"/>
  <c r="L72" i="23" s="1"/>
  <c r="I31" i="17"/>
  <c r="H56" i="23" s="1"/>
  <c r="I32" i="17"/>
  <c r="H57" i="23" s="1"/>
  <c r="I33" i="17"/>
  <c r="H58" i="23" s="1"/>
  <c r="I34" i="17"/>
  <c r="H59" i="23" s="1"/>
  <c r="I35" i="17"/>
  <c r="H60" i="23" s="1"/>
  <c r="I36" i="17"/>
  <c r="H61" i="23" s="1"/>
  <c r="I37" i="17"/>
  <c r="H62" i="23" s="1"/>
  <c r="I38" i="17"/>
  <c r="H63" i="23" s="1"/>
  <c r="I39" i="17"/>
  <c r="H64" i="23" s="1"/>
  <c r="I40" i="17"/>
  <c r="H65" i="23" s="1"/>
  <c r="I41" i="17"/>
  <c r="H66" i="23" s="1"/>
  <c r="I42" i="17"/>
  <c r="H67" i="23" s="1"/>
  <c r="I43" i="17"/>
  <c r="H68" i="23" s="1"/>
  <c r="I44" i="17"/>
  <c r="H69" i="23" s="1"/>
  <c r="I45" i="17"/>
  <c r="H70" i="23" s="1"/>
  <c r="I46" i="17"/>
  <c r="H71" i="23" s="1"/>
  <c r="I47" i="17"/>
  <c r="H72" i="23" s="1"/>
  <c r="I48" i="17"/>
  <c r="H73" i="23" s="1"/>
  <c r="I49" i="17"/>
  <c r="H74" i="23" s="1"/>
  <c r="B21" i="17"/>
  <c r="C21" i="17"/>
  <c r="E21" i="17" s="1"/>
  <c r="B372" i="16"/>
  <c r="B360" i="16"/>
  <c r="B348" i="16"/>
  <c r="B340" i="16"/>
  <c r="B328" i="16"/>
  <c r="B324" i="16"/>
  <c r="B316" i="16"/>
  <c r="B308" i="16"/>
  <c r="B296" i="16"/>
  <c r="B377" i="16"/>
  <c r="B373" i="16"/>
  <c r="B369" i="16"/>
  <c r="B365" i="16"/>
  <c r="B361" i="16"/>
  <c r="B357" i="16"/>
  <c r="B353" i="16"/>
  <c r="B349" i="16"/>
  <c r="B345" i="16"/>
  <c r="B341" i="16"/>
  <c r="B337" i="16"/>
  <c r="B333" i="16"/>
  <c r="B329" i="16"/>
  <c r="B325" i="16"/>
  <c r="B321" i="16"/>
  <c r="B317" i="16"/>
  <c r="B313" i="16"/>
  <c r="B309" i="16"/>
  <c r="B305" i="16"/>
  <c r="B301" i="16"/>
  <c r="B297" i="16"/>
  <c r="B293" i="16"/>
  <c r="B289" i="16"/>
  <c r="B285" i="16"/>
  <c r="B281" i="16"/>
  <c r="B277" i="16"/>
  <c r="B273" i="16"/>
  <c r="B269" i="16"/>
  <c r="B265" i="16"/>
  <c r="B261" i="16"/>
  <c r="B257" i="16"/>
  <c r="B253" i="16"/>
  <c r="B249" i="16"/>
  <c r="B245" i="16"/>
  <c r="B241" i="16"/>
  <c r="B237" i="16"/>
  <c r="B233" i="16"/>
  <c r="B229" i="16"/>
  <c r="B225" i="16"/>
  <c r="B221" i="16"/>
  <c r="B217" i="16"/>
  <c r="B213" i="16"/>
  <c r="B209" i="16"/>
  <c r="B205" i="16"/>
  <c r="B201" i="16"/>
  <c r="B197" i="16"/>
  <c r="B193" i="16"/>
  <c r="B189" i="16"/>
  <c r="B185" i="16"/>
  <c r="B181" i="16"/>
  <c r="B177" i="16"/>
  <c r="B173" i="16"/>
  <c r="B169" i="16"/>
  <c r="B165" i="16"/>
  <c r="B161" i="16"/>
  <c r="B157" i="16"/>
  <c r="B153" i="16"/>
  <c r="B149" i="16"/>
  <c r="B145" i="16"/>
  <c r="B141" i="16"/>
  <c r="C377" i="16"/>
  <c r="C373" i="16"/>
  <c r="C369" i="16"/>
  <c r="C365" i="16"/>
  <c r="C361" i="16"/>
  <c r="C357" i="16"/>
  <c r="C353" i="16"/>
  <c r="C349" i="16"/>
  <c r="C345" i="16"/>
  <c r="C341" i="16"/>
  <c r="C337" i="16"/>
  <c r="C333" i="16"/>
  <c r="C329" i="16"/>
  <c r="C325" i="16"/>
  <c r="C321" i="16"/>
  <c r="C317" i="16"/>
  <c r="C313" i="16"/>
  <c r="C309" i="16"/>
  <c r="C305" i="16"/>
  <c r="C301" i="16"/>
  <c r="C297" i="16"/>
  <c r="C293" i="16"/>
  <c r="C289" i="16"/>
  <c r="C285" i="16"/>
  <c r="C281" i="16"/>
  <c r="C277" i="16"/>
  <c r="C273" i="16"/>
  <c r="C269" i="16"/>
  <c r="C265" i="16"/>
  <c r="C261" i="16"/>
  <c r="C257" i="16"/>
  <c r="C253" i="16"/>
  <c r="C249" i="16"/>
  <c r="C245" i="16"/>
  <c r="C241" i="16"/>
  <c r="C237" i="16"/>
  <c r="C233" i="16"/>
  <c r="C229" i="16"/>
  <c r="C225" i="16"/>
  <c r="C221" i="16"/>
  <c r="C217" i="16"/>
  <c r="C213" i="16"/>
  <c r="C209" i="16"/>
  <c r="C205" i="16"/>
  <c r="C201" i="16"/>
  <c r="C197" i="16"/>
  <c r="C193" i="16"/>
  <c r="C189" i="16"/>
  <c r="C185" i="16"/>
  <c r="C181" i="16"/>
  <c r="C177" i="16"/>
  <c r="C173" i="16"/>
  <c r="C169" i="16"/>
  <c r="C165" i="16"/>
  <c r="C161" i="16"/>
  <c r="C157" i="16"/>
  <c r="C153" i="16"/>
  <c r="C149" i="16"/>
  <c r="C145" i="16"/>
  <c r="C141" i="16"/>
  <c r="B374" i="16"/>
  <c r="B366" i="16"/>
  <c r="B358" i="16"/>
  <c r="B346" i="16"/>
  <c r="B338" i="16"/>
  <c r="B326" i="16"/>
  <c r="B318" i="16"/>
  <c r="B306" i="16"/>
  <c r="B298" i="16"/>
  <c r="B290" i="16"/>
  <c r="B282" i="16"/>
  <c r="B274" i="16"/>
  <c r="B262" i="16"/>
  <c r="B254" i="16"/>
  <c r="B246" i="16"/>
  <c r="B234" i="16"/>
  <c r="B222" i="16"/>
  <c r="B214" i="16"/>
  <c r="B206" i="16"/>
  <c r="B194" i="16"/>
  <c r="B182" i="16"/>
  <c r="B166" i="16"/>
  <c r="B158" i="16"/>
  <c r="B150" i="16"/>
  <c r="B146" i="16"/>
  <c r="B142" i="16"/>
  <c r="C378" i="16"/>
  <c r="C374" i="16"/>
  <c r="C370" i="16"/>
  <c r="C366" i="16"/>
  <c r="C358" i="16"/>
  <c r="C354" i="16"/>
  <c r="C350" i="16"/>
  <c r="C346" i="16"/>
  <c r="C342" i="16"/>
  <c r="C338" i="16"/>
  <c r="C334" i="16"/>
  <c r="C330" i="16"/>
  <c r="C326" i="16"/>
  <c r="C322" i="16"/>
  <c r="C318" i="16"/>
  <c r="C314" i="16"/>
  <c r="C310" i="16"/>
  <c r="C306" i="16"/>
  <c r="C302" i="16"/>
  <c r="C298" i="16"/>
  <c r="C294" i="16"/>
  <c r="C290" i="16"/>
  <c r="C286" i="16"/>
  <c r="C282" i="16"/>
  <c r="C278" i="16"/>
  <c r="C274" i="16"/>
  <c r="C270" i="16"/>
  <c r="C266" i="16"/>
  <c r="C262" i="16"/>
  <c r="C258" i="16"/>
  <c r="C254" i="16"/>
  <c r="C250" i="16"/>
  <c r="C246" i="16"/>
  <c r="C242" i="16"/>
  <c r="C238" i="16"/>
  <c r="C234" i="16"/>
  <c r="C230" i="16"/>
  <c r="C226" i="16"/>
  <c r="C222" i="16"/>
  <c r="C218" i="16"/>
  <c r="C214" i="16"/>
  <c r="C210" i="16"/>
  <c r="C206" i="16"/>
  <c r="C202" i="16"/>
  <c r="C198" i="16"/>
  <c r="C194" i="16"/>
  <c r="C190" i="16"/>
  <c r="C186" i="16"/>
  <c r="C182" i="16"/>
  <c r="C178" i="16"/>
  <c r="C174" i="16"/>
  <c r="C170" i="16"/>
  <c r="C166" i="16"/>
  <c r="C162" i="16"/>
  <c r="C158" i="16"/>
  <c r="C154" i="16"/>
  <c r="C150" i="16"/>
  <c r="C146" i="16"/>
  <c r="C142" i="16"/>
  <c r="B376" i="16"/>
  <c r="B364" i="16"/>
  <c r="B352" i="16"/>
  <c r="B336" i="16"/>
  <c r="B378" i="16"/>
  <c r="B370" i="16"/>
  <c r="B362" i="16"/>
  <c r="B354" i="16"/>
  <c r="B350" i="16"/>
  <c r="B342" i="16"/>
  <c r="B334" i="16"/>
  <c r="B330" i="16"/>
  <c r="B322" i="16"/>
  <c r="B314" i="16"/>
  <c r="B310" i="16"/>
  <c r="B302" i="16"/>
  <c r="B294" i="16"/>
  <c r="B286" i="16"/>
  <c r="B278" i="16"/>
  <c r="B270" i="16"/>
  <c r="B266" i="16"/>
  <c r="B258" i="16"/>
  <c r="B250" i="16"/>
  <c r="B242" i="16"/>
  <c r="B238" i="16"/>
  <c r="B230" i="16"/>
  <c r="B226" i="16"/>
  <c r="B218" i="16"/>
  <c r="B210" i="16"/>
  <c r="B202" i="16"/>
  <c r="B198" i="16"/>
  <c r="B190" i="16"/>
  <c r="B186" i="16"/>
  <c r="B178" i="16"/>
  <c r="B174" i="16"/>
  <c r="B170" i="16"/>
  <c r="B162" i="16"/>
  <c r="B154" i="16"/>
  <c r="C362" i="16"/>
  <c r="B379" i="16"/>
  <c r="B375" i="16"/>
  <c r="B371" i="16"/>
  <c r="B367" i="16"/>
  <c r="B363" i="16"/>
  <c r="B359" i="16"/>
  <c r="B355" i="16"/>
  <c r="B351" i="16"/>
  <c r="B347" i="16"/>
  <c r="B343" i="16"/>
  <c r="B339" i="16"/>
  <c r="B335" i="16"/>
  <c r="B331" i="16"/>
  <c r="B327" i="16"/>
  <c r="B323" i="16"/>
  <c r="B319" i="16"/>
  <c r="B315" i="16"/>
  <c r="B311" i="16"/>
  <c r="B307" i="16"/>
  <c r="B303" i="16"/>
  <c r="B299" i="16"/>
  <c r="B295" i="16"/>
  <c r="B291" i="16"/>
  <c r="B287" i="16"/>
  <c r="B283" i="16"/>
  <c r="B279" i="16"/>
  <c r="B275" i="16"/>
  <c r="B271" i="16"/>
  <c r="B267" i="16"/>
  <c r="B263" i="16"/>
  <c r="B259" i="16"/>
  <c r="B255" i="16"/>
  <c r="B251" i="16"/>
  <c r="B247" i="16"/>
  <c r="B243" i="16"/>
  <c r="B239" i="16"/>
  <c r="B235" i="16"/>
  <c r="B231" i="16"/>
  <c r="B227" i="16"/>
  <c r="B223" i="16"/>
  <c r="B219" i="16"/>
  <c r="B215" i="16"/>
  <c r="B211" i="16"/>
  <c r="B207" i="16"/>
  <c r="B203" i="16"/>
  <c r="B199" i="16"/>
  <c r="B195" i="16"/>
  <c r="B191" i="16"/>
  <c r="B187" i="16"/>
  <c r="B183" i="16"/>
  <c r="B179" i="16"/>
  <c r="B175" i="16"/>
  <c r="B171" i="16"/>
  <c r="B167" i="16"/>
  <c r="B163" i="16"/>
  <c r="B159" i="16"/>
  <c r="B155" i="16"/>
  <c r="B151" i="16"/>
  <c r="B147" i="16"/>
  <c r="B143" i="16"/>
  <c r="C379" i="16"/>
  <c r="C375" i="16"/>
  <c r="C371" i="16"/>
  <c r="C367" i="16"/>
  <c r="C363" i="16"/>
  <c r="C359" i="16"/>
  <c r="C355" i="16"/>
  <c r="C351" i="16"/>
  <c r="C347" i="16"/>
  <c r="C343" i="16"/>
  <c r="C339" i="16"/>
  <c r="C335" i="16"/>
  <c r="C331" i="16"/>
  <c r="C327" i="16"/>
  <c r="C323" i="16"/>
  <c r="C319" i="16"/>
  <c r="C315" i="16"/>
  <c r="C311" i="16"/>
  <c r="C307" i="16"/>
  <c r="C303" i="16"/>
  <c r="C299" i="16"/>
  <c r="C295" i="16"/>
  <c r="C291" i="16"/>
  <c r="C287" i="16"/>
  <c r="C283" i="16"/>
  <c r="C279" i="16"/>
  <c r="C275" i="16"/>
  <c r="C271" i="16"/>
  <c r="C267" i="16"/>
  <c r="C263" i="16"/>
  <c r="C259" i="16"/>
  <c r="C255" i="16"/>
  <c r="C251" i="16"/>
  <c r="C247" i="16"/>
  <c r="C243" i="16"/>
  <c r="C239" i="16"/>
  <c r="C235" i="16"/>
  <c r="C231" i="16"/>
  <c r="C227" i="16"/>
  <c r="C223" i="16"/>
  <c r="C219" i="16"/>
  <c r="C215" i="16"/>
  <c r="C211" i="16"/>
  <c r="C207" i="16"/>
  <c r="C203" i="16"/>
  <c r="C199" i="16"/>
  <c r="C195" i="16"/>
  <c r="C191" i="16"/>
  <c r="C187" i="16"/>
  <c r="C183" i="16"/>
  <c r="C179" i="16"/>
  <c r="C175" i="16"/>
  <c r="C171" i="16"/>
  <c r="C167" i="16"/>
  <c r="C163" i="16"/>
  <c r="C159" i="16"/>
  <c r="C155" i="16"/>
  <c r="C151" i="16"/>
  <c r="C147" i="16"/>
  <c r="C143" i="16"/>
  <c r="B368" i="16"/>
  <c r="B356" i="16"/>
  <c r="B344" i="16"/>
  <c r="B332" i="16"/>
  <c r="B320" i="16"/>
  <c r="B312" i="16"/>
  <c r="B304" i="16"/>
  <c r="B300" i="16"/>
  <c r="B292" i="16"/>
  <c r="B288" i="16"/>
  <c r="B284" i="16"/>
  <c r="B280" i="16"/>
  <c r="B276" i="16"/>
  <c r="B272" i="16"/>
  <c r="B268" i="16"/>
  <c r="B264" i="16"/>
  <c r="B260" i="16"/>
  <c r="B256" i="16"/>
  <c r="B252" i="16"/>
  <c r="B248" i="16"/>
  <c r="B244" i="16"/>
  <c r="B240" i="16"/>
  <c r="B236" i="16"/>
  <c r="B232" i="16"/>
  <c r="B228" i="16"/>
  <c r="B224" i="16"/>
  <c r="B220" i="16"/>
  <c r="B216" i="16"/>
  <c r="B212" i="16"/>
  <c r="B208" i="16"/>
  <c r="B204" i="16"/>
  <c r="B200" i="16"/>
  <c r="B196" i="16"/>
  <c r="B192" i="16"/>
  <c r="B188" i="16"/>
  <c r="B184" i="16"/>
  <c r="B180" i="16"/>
  <c r="B176" i="16"/>
  <c r="B172" i="16"/>
  <c r="B168" i="16"/>
  <c r="B164" i="16"/>
  <c r="B160" i="16"/>
  <c r="B156" i="16"/>
  <c r="B152" i="16"/>
  <c r="B148" i="16"/>
  <c r="B144" i="16"/>
  <c r="B140" i="16"/>
  <c r="C376" i="16"/>
  <c r="C372" i="16"/>
  <c r="C368" i="16"/>
  <c r="C364" i="16"/>
  <c r="C360" i="16"/>
  <c r="C356" i="16"/>
  <c r="C352" i="16"/>
  <c r="C348" i="16"/>
  <c r="C344" i="16"/>
  <c r="C340" i="16"/>
  <c r="C336" i="16"/>
  <c r="C332" i="16"/>
  <c r="C328" i="16"/>
  <c r="C324" i="16"/>
  <c r="C320" i="16"/>
  <c r="C316" i="16"/>
  <c r="C312" i="16"/>
  <c r="C308" i="16"/>
  <c r="C304" i="16"/>
  <c r="C300" i="16"/>
  <c r="C296" i="16"/>
  <c r="C292" i="16"/>
  <c r="C288" i="16"/>
  <c r="C284" i="16"/>
  <c r="C280" i="16"/>
  <c r="C276" i="16"/>
  <c r="C272" i="16"/>
  <c r="C268" i="16"/>
  <c r="C264" i="16"/>
  <c r="C260" i="16"/>
  <c r="C256" i="16"/>
  <c r="C252" i="16"/>
  <c r="C248" i="16"/>
  <c r="C244" i="16"/>
  <c r="C240" i="16"/>
  <c r="C236" i="16"/>
  <c r="C232" i="16"/>
  <c r="C228" i="16"/>
  <c r="C224" i="16"/>
  <c r="C220" i="16"/>
  <c r="C216" i="16"/>
  <c r="C212" i="16"/>
  <c r="C208" i="16"/>
  <c r="C204" i="16"/>
  <c r="C200" i="16"/>
  <c r="C196" i="16"/>
  <c r="C192" i="16"/>
  <c r="C188" i="16"/>
  <c r="C184" i="16"/>
  <c r="C180" i="16"/>
  <c r="C176" i="16"/>
  <c r="C172" i="16"/>
  <c r="C168" i="16"/>
  <c r="C164" i="16"/>
  <c r="C160" i="16"/>
  <c r="C156" i="16"/>
  <c r="C152" i="16"/>
  <c r="C148" i="16"/>
  <c r="C144" i="16"/>
  <c r="G19" i="16"/>
  <c r="C45" i="23" s="1"/>
  <c r="E8" i="15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E9" i="15"/>
  <c r="E10" i="15" s="1"/>
  <c r="F7" i="12"/>
  <c r="G7" i="12" s="1"/>
  <c r="F8" i="12"/>
  <c r="G8" i="12" s="1"/>
  <c r="F9" i="12"/>
  <c r="G9" i="12" s="1"/>
  <c r="E10" i="12"/>
  <c r="E6" i="15" s="1"/>
  <c r="J37" i="16"/>
  <c r="H39" i="16"/>
  <c r="J40" i="16"/>
  <c r="J34" i="16"/>
  <c r="J33" i="16"/>
  <c r="H35" i="16"/>
  <c r="H45" i="16"/>
  <c r="J36" i="16"/>
  <c r="H47" i="16"/>
  <c r="J38" i="16"/>
  <c r="J43" i="16"/>
  <c r="H49" i="16"/>
  <c r="H40" i="16"/>
  <c r="J46" i="16"/>
  <c r="J48" i="16"/>
  <c r="J47" i="16"/>
  <c r="H43" i="16"/>
  <c r="J31" i="16"/>
  <c r="J49" i="16"/>
  <c r="H46" i="16"/>
  <c r="H32" i="16"/>
  <c r="J41" i="16"/>
  <c r="H31" i="16"/>
  <c r="H38" i="16"/>
  <c r="H44" i="16"/>
  <c r="J44" i="16"/>
  <c r="H34" i="16"/>
  <c r="H41" i="16"/>
  <c r="H48" i="16"/>
  <c r="H42" i="16"/>
  <c r="J32" i="16"/>
  <c r="H33" i="16"/>
  <c r="H36" i="16"/>
  <c r="J45" i="16"/>
  <c r="J35" i="16"/>
  <c r="J42" i="16"/>
  <c r="J39" i="16"/>
  <c r="H37" i="16"/>
  <c r="G23" i="14" l="1"/>
  <c r="R23" i="14" s="1"/>
  <c r="S23" i="20" s="1"/>
  <c r="G32" i="14"/>
  <c r="R32" i="14" s="1"/>
  <c r="S32" i="20" s="1"/>
  <c r="G16" i="14"/>
  <c r="G29" i="14"/>
  <c r="R29" i="14" s="1"/>
  <c r="S29" i="20" s="1"/>
  <c r="G13" i="14"/>
  <c r="R13" i="14" s="1"/>
  <c r="S13" i="20" s="1"/>
  <c r="G22" i="14"/>
  <c r="R22" i="14" s="1"/>
  <c r="S22" i="20" s="1"/>
  <c r="G27" i="14"/>
  <c r="R27" i="14" s="1"/>
  <c r="S27" i="20" s="1"/>
  <c r="G11" i="14"/>
  <c r="R11" i="14" s="1"/>
  <c r="S11" i="20" s="1"/>
  <c r="G20" i="14"/>
  <c r="G33" i="14"/>
  <c r="R33" i="14" s="1"/>
  <c r="S33" i="20" s="1"/>
  <c r="G17" i="14"/>
  <c r="G26" i="14"/>
  <c r="R26" i="14" s="1"/>
  <c r="S26" i="20" s="1"/>
  <c r="G10" i="14"/>
  <c r="R10" i="14" s="1"/>
  <c r="S10" i="20" s="1"/>
  <c r="G31" i="14"/>
  <c r="G15" i="14"/>
  <c r="R15" i="14" s="1"/>
  <c r="S15" i="20" s="1"/>
  <c r="G24" i="14"/>
  <c r="R24" i="14" s="1"/>
  <c r="S24" i="20" s="1"/>
  <c r="G21" i="14"/>
  <c r="R21" i="14" s="1"/>
  <c r="S21" i="20" s="1"/>
  <c r="G30" i="14"/>
  <c r="R30" i="14" s="1"/>
  <c r="S30" i="20" s="1"/>
  <c r="G14" i="14"/>
  <c r="G8" i="14"/>
  <c r="G19" i="14"/>
  <c r="R19" i="14" s="1"/>
  <c r="S19" i="20" s="1"/>
  <c r="G28" i="14"/>
  <c r="R28" i="14" s="1"/>
  <c r="S28" i="20" s="1"/>
  <c r="G12" i="14"/>
  <c r="R12" i="14" s="1"/>
  <c r="S12" i="20" s="1"/>
  <c r="G25" i="14"/>
  <c r="G9" i="14"/>
  <c r="G18" i="14"/>
  <c r="R18" i="14" s="1"/>
  <c r="S18" i="20" s="1"/>
  <c r="G37" i="14"/>
  <c r="R37" i="14" s="1"/>
  <c r="S37" i="20" s="1"/>
  <c r="G34" i="14"/>
  <c r="R34" i="14" s="1"/>
  <c r="S34" i="20" s="1"/>
  <c r="G36" i="14"/>
  <c r="R36" i="14" s="1"/>
  <c r="S36" i="20" s="1"/>
  <c r="G38" i="14"/>
  <c r="G35" i="14"/>
  <c r="Q7" i="14"/>
  <c r="U7" i="14" s="1"/>
  <c r="B22" i="18"/>
  <c r="C22" i="18"/>
  <c r="E22" i="18" s="1"/>
  <c r="E59" i="23"/>
  <c r="E72" i="23"/>
  <c r="E70" i="23"/>
  <c r="E63" i="23"/>
  <c r="E73" i="23"/>
  <c r="E65" i="23"/>
  <c r="E62" i="23"/>
  <c r="E68" i="23"/>
  <c r="E56" i="23"/>
  <c r="E69" i="23"/>
  <c r="E71" i="23"/>
  <c r="E64" i="23"/>
  <c r="E74" i="23"/>
  <c r="E66" i="23"/>
  <c r="E57" i="23"/>
  <c r="E61" i="23"/>
  <c r="E58" i="23"/>
  <c r="E67" i="23"/>
  <c r="E60" i="23"/>
  <c r="V7" i="22"/>
  <c r="D33" i="20"/>
  <c r="D33" i="14"/>
  <c r="C32" i="14"/>
  <c r="A11" i="20"/>
  <c r="R10" i="22"/>
  <c r="N10" i="22"/>
  <c r="C20" i="16"/>
  <c r="T21" i="20"/>
  <c r="T25" i="20"/>
  <c r="T29" i="20"/>
  <c r="T33" i="20"/>
  <c r="T37" i="20"/>
  <c r="S22" i="14"/>
  <c r="F22" i="14" s="1"/>
  <c r="S26" i="14"/>
  <c r="F26" i="14" s="1"/>
  <c r="S30" i="14"/>
  <c r="F30" i="14" s="1"/>
  <c r="S34" i="14"/>
  <c r="F34" i="14" s="1"/>
  <c r="T22" i="20"/>
  <c r="T26" i="20"/>
  <c r="T30" i="20"/>
  <c r="T34" i="20"/>
  <c r="S19" i="14"/>
  <c r="F19" i="14" s="1"/>
  <c r="S23" i="14"/>
  <c r="F23" i="14" s="1"/>
  <c r="S27" i="14"/>
  <c r="F27" i="14" s="1"/>
  <c r="S31" i="14"/>
  <c r="F31" i="14" s="1"/>
  <c r="S35" i="14"/>
  <c r="F35" i="14" s="1"/>
  <c r="T19" i="20"/>
  <c r="T23" i="20"/>
  <c r="T27" i="20"/>
  <c r="T31" i="20"/>
  <c r="T35" i="20"/>
  <c r="S20" i="14"/>
  <c r="F20" i="14" s="1"/>
  <c r="S24" i="14"/>
  <c r="F24" i="14" s="1"/>
  <c r="S28" i="14"/>
  <c r="S32" i="14"/>
  <c r="F32" i="14" s="1"/>
  <c r="S36" i="14"/>
  <c r="F36" i="14" s="1"/>
  <c r="T20" i="20"/>
  <c r="T24" i="20"/>
  <c r="T28" i="20"/>
  <c r="T32" i="20"/>
  <c r="T36" i="20"/>
  <c r="S21" i="14"/>
  <c r="F21" i="14" s="1"/>
  <c r="S25" i="14"/>
  <c r="F25" i="14" s="1"/>
  <c r="S29" i="14"/>
  <c r="F29" i="14" s="1"/>
  <c r="S33" i="14"/>
  <c r="F33" i="14" s="1"/>
  <c r="S37" i="14"/>
  <c r="F37" i="14" s="1"/>
  <c r="I8" i="20"/>
  <c r="I40" i="20" s="1"/>
  <c r="R7" i="20"/>
  <c r="R35" i="14"/>
  <c r="S35" i="20" s="1"/>
  <c r="F11" i="20"/>
  <c r="R31" i="14"/>
  <c r="S31" i="20" s="1"/>
  <c r="R20" i="14"/>
  <c r="S20" i="20" s="1"/>
  <c r="F8" i="20"/>
  <c r="R14" i="14"/>
  <c r="S14" i="20" s="1"/>
  <c r="R25" i="14"/>
  <c r="S25" i="20" s="1"/>
  <c r="R9" i="14"/>
  <c r="S9" i="20" s="1"/>
  <c r="R16" i="14"/>
  <c r="S16" i="20" s="1"/>
  <c r="R17" i="14"/>
  <c r="S17" i="20" s="1"/>
  <c r="F10" i="20"/>
  <c r="H10" i="20" s="1"/>
  <c r="F9" i="20"/>
  <c r="H9" i="20" s="1"/>
  <c r="J14" i="20"/>
  <c r="B12" i="20"/>
  <c r="F12" i="20" s="1"/>
  <c r="C11" i="20"/>
  <c r="J9" i="15"/>
  <c r="C22" i="17"/>
  <c r="E22" i="17" s="1"/>
  <c r="B22" i="17"/>
  <c r="I48" i="16"/>
  <c r="D73" i="23" s="1"/>
  <c r="I47" i="16"/>
  <c r="D72" i="23" s="1"/>
  <c r="I46" i="16"/>
  <c r="D71" i="23" s="1"/>
  <c r="I45" i="16"/>
  <c r="D70" i="23" s="1"/>
  <c r="I44" i="16"/>
  <c r="D69" i="23" s="1"/>
  <c r="I43" i="16"/>
  <c r="D68" i="23" s="1"/>
  <c r="I42" i="16"/>
  <c r="D67" i="23" s="1"/>
  <c r="I41" i="16"/>
  <c r="D66" i="23" s="1"/>
  <c r="I40" i="16"/>
  <c r="D65" i="23" s="1"/>
  <c r="I39" i="16"/>
  <c r="D64" i="23" s="1"/>
  <c r="I38" i="16"/>
  <c r="D63" i="23" s="1"/>
  <c r="I37" i="16"/>
  <c r="D62" i="23" s="1"/>
  <c r="I36" i="16"/>
  <c r="D61" i="23" s="1"/>
  <c r="I35" i="16"/>
  <c r="D60" i="23" s="1"/>
  <c r="I34" i="16"/>
  <c r="D59" i="23" s="1"/>
  <c r="I33" i="16"/>
  <c r="D58" i="23" s="1"/>
  <c r="I32" i="16"/>
  <c r="D57" i="23" s="1"/>
  <c r="I31" i="16"/>
  <c r="D56" i="23" s="1"/>
  <c r="J8" i="15"/>
  <c r="J8" i="14" s="1"/>
  <c r="J40" i="14" s="1"/>
  <c r="E7" i="15"/>
  <c r="G10" i="12"/>
  <c r="F10" i="12"/>
  <c r="F28" i="14" l="1"/>
  <c r="H28" i="14" s="1"/>
  <c r="R8" i="14"/>
  <c r="G40" i="14"/>
  <c r="H11" i="20"/>
  <c r="H8" i="20"/>
  <c r="Q8" i="14"/>
  <c r="B23" i="18"/>
  <c r="C23" i="18"/>
  <c r="E23" i="18" s="1"/>
  <c r="D34" i="20"/>
  <c r="D34" i="14"/>
  <c r="C33" i="14"/>
  <c r="H33" i="14" s="1"/>
  <c r="A12" i="20"/>
  <c r="N11" i="22"/>
  <c r="R11" i="22"/>
  <c r="H22" i="14"/>
  <c r="H20" i="14"/>
  <c r="X7" i="14"/>
  <c r="Q40" i="14"/>
  <c r="R8" i="20"/>
  <c r="R40" i="20" s="1"/>
  <c r="H30" i="14"/>
  <c r="H29" i="14"/>
  <c r="H31" i="14"/>
  <c r="H27" i="14"/>
  <c r="H19" i="14"/>
  <c r="H23" i="14"/>
  <c r="K8" i="20"/>
  <c r="K40" i="20" s="1"/>
  <c r="M8" i="14"/>
  <c r="M40" i="14" s="1"/>
  <c r="I8" i="14"/>
  <c r="I40" i="14" s="1"/>
  <c r="L8" i="20"/>
  <c r="L40" i="20" s="1"/>
  <c r="M8" i="20"/>
  <c r="M40" i="20" s="1"/>
  <c r="K8" i="14"/>
  <c r="K40" i="14" s="1"/>
  <c r="N8" i="20"/>
  <c r="N40" i="20" s="1"/>
  <c r="J8" i="20"/>
  <c r="L8" i="14"/>
  <c r="L40" i="14" s="1"/>
  <c r="R38" i="14"/>
  <c r="S38" i="20" s="1"/>
  <c r="P8" i="14"/>
  <c r="P40" i="14" s="1"/>
  <c r="Q8" i="20"/>
  <c r="Q40" i="20" s="1"/>
  <c r="S8" i="20"/>
  <c r="H32" i="14"/>
  <c r="H25" i="14"/>
  <c r="H24" i="14"/>
  <c r="H26" i="14"/>
  <c r="H21" i="14"/>
  <c r="B13" i="20"/>
  <c r="F13" i="20" s="1"/>
  <c r="C12" i="20"/>
  <c r="H12" i="20" s="1"/>
  <c r="J15" i="20"/>
  <c r="C23" i="17"/>
  <c r="E23" i="17" s="1"/>
  <c r="B23" i="17"/>
  <c r="I49" i="16"/>
  <c r="D74" i="23" s="1"/>
  <c r="E14" i="15"/>
  <c r="D14" i="15"/>
  <c r="AJ7" i="14" l="1"/>
  <c r="AE7" i="14"/>
  <c r="R40" i="14"/>
  <c r="B24" i="18"/>
  <c r="C24" i="18"/>
  <c r="E24" i="18" s="1"/>
  <c r="D35" i="20"/>
  <c r="D35" i="14"/>
  <c r="C34" i="14"/>
  <c r="A13" i="20"/>
  <c r="N12" i="22"/>
  <c r="R12" i="22"/>
  <c r="P8" i="20"/>
  <c r="P40" i="20" s="1"/>
  <c r="O8" i="14"/>
  <c r="O40" i="14" s="1"/>
  <c r="O8" i="20"/>
  <c r="N8" i="14"/>
  <c r="B14" i="20"/>
  <c r="F14" i="20" s="1"/>
  <c r="C13" i="20"/>
  <c r="H13" i="20" s="1"/>
  <c r="J16" i="20"/>
  <c r="B24" i="17"/>
  <c r="C24" i="17"/>
  <c r="E24" i="17" s="1"/>
  <c r="G14" i="15"/>
  <c r="C15" i="15" s="1"/>
  <c r="F14" i="15"/>
  <c r="B25" i="18" l="1"/>
  <c r="C25" i="18"/>
  <c r="E25" i="18" s="1"/>
  <c r="D36" i="20"/>
  <c r="D36" i="14"/>
  <c r="C35" i="14"/>
  <c r="H34" i="14"/>
  <c r="A14" i="20"/>
  <c r="R13" i="22"/>
  <c r="N13" i="22"/>
  <c r="J17" i="20"/>
  <c r="B15" i="20"/>
  <c r="F15" i="20" s="1"/>
  <c r="C14" i="20"/>
  <c r="H14" i="20" s="1"/>
  <c r="B25" i="17"/>
  <c r="C25" i="17"/>
  <c r="E25" i="17" s="1"/>
  <c r="D15" i="15"/>
  <c r="B26" i="18" l="1"/>
  <c r="C26" i="18"/>
  <c r="E26" i="18" s="1"/>
  <c r="D37" i="20"/>
  <c r="D37" i="14"/>
  <c r="C36" i="14"/>
  <c r="H35" i="14"/>
  <c r="A15" i="20"/>
  <c r="R14" i="22"/>
  <c r="N14" i="22"/>
  <c r="G15" i="15"/>
  <c r="C16" i="15" s="1"/>
  <c r="D16" i="15" s="1"/>
  <c r="O9" i="20"/>
  <c r="N9" i="14"/>
  <c r="B16" i="20"/>
  <c r="F16" i="20" s="1"/>
  <c r="C15" i="20"/>
  <c r="H15" i="20" s="1"/>
  <c r="J18" i="20"/>
  <c r="B26" i="17"/>
  <c r="C26" i="17"/>
  <c r="E26" i="17" s="1"/>
  <c r="F15" i="15"/>
  <c r="B27" i="18" l="1"/>
  <c r="C27" i="18"/>
  <c r="E27" i="18" s="1"/>
  <c r="D38" i="20"/>
  <c r="D38" i="14"/>
  <c r="C38" i="14" s="1"/>
  <c r="C37" i="14"/>
  <c r="H36" i="14"/>
  <c r="A16" i="20"/>
  <c r="N15" i="22"/>
  <c r="R15" i="22"/>
  <c r="F16" i="15"/>
  <c r="N10" i="14"/>
  <c r="O10" i="20"/>
  <c r="B17" i="20"/>
  <c r="F17" i="20" s="1"/>
  <c r="C16" i="20"/>
  <c r="H16" i="20" s="1"/>
  <c r="J19" i="20"/>
  <c r="C27" i="17"/>
  <c r="E27" i="17" s="1"/>
  <c r="B27" i="17"/>
  <c r="G16" i="15"/>
  <c r="C17" i="15" s="1"/>
  <c r="H20" i="18"/>
  <c r="H20" i="17"/>
  <c r="C40" i="14" l="1"/>
  <c r="M45" i="23"/>
  <c r="B28" i="18"/>
  <c r="C28" i="18"/>
  <c r="E28" i="18" s="1"/>
  <c r="I45" i="23"/>
  <c r="H38" i="14"/>
  <c r="H37" i="14"/>
  <c r="A17" i="20"/>
  <c r="N16" i="22"/>
  <c r="R16" i="22"/>
  <c r="J20" i="20"/>
  <c r="B18" i="20"/>
  <c r="F18" i="20" s="1"/>
  <c r="C17" i="20"/>
  <c r="H17" i="20" s="1"/>
  <c r="B28" i="17"/>
  <c r="C28" i="17"/>
  <c r="E28" i="17" s="1"/>
  <c r="D17" i="15"/>
  <c r="J20" i="18"/>
  <c r="J20" i="17"/>
  <c r="I20" i="18" l="1"/>
  <c r="L45" i="23" s="1"/>
  <c r="B29" i="18"/>
  <c r="C29" i="18"/>
  <c r="E29" i="18" s="1"/>
  <c r="A18" i="20"/>
  <c r="N17" i="22"/>
  <c r="R17" i="22"/>
  <c r="O11" i="20"/>
  <c r="N11" i="14"/>
  <c r="B19" i="20"/>
  <c r="F19" i="20" s="1"/>
  <c r="C18" i="20"/>
  <c r="H18" i="20" s="1"/>
  <c r="J21" i="20"/>
  <c r="I20" i="17"/>
  <c r="H45" i="23" s="1"/>
  <c r="B29" i="17"/>
  <c r="C29" i="17"/>
  <c r="E29" i="17" s="1"/>
  <c r="F17" i="15"/>
  <c r="G17" i="15"/>
  <c r="C18" i="15" s="1"/>
  <c r="G20" i="18" l="1"/>
  <c r="B30" i="18"/>
  <c r="C30" i="18"/>
  <c r="E30" i="18" s="1"/>
  <c r="A19" i="20"/>
  <c r="R18" i="22"/>
  <c r="N18" i="22"/>
  <c r="J22" i="20"/>
  <c r="B20" i="20"/>
  <c r="F20" i="20" s="1"/>
  <c r="C19" i="20"/>
  <c r="G20" i="17"/>
  <c r="C30" i="17"/>
  <c r="E30" i="17" s="1"/>
  <c r="B30" i="17"/>
  <c r="D18" i="15"/>
  <c r="B31" i="18" l="1"/>
  <c r="C31" i="18"/>
  <c r="E31" i="18" s="1"/>
  <c r="K46" i="23"/>
  <c r="N45" i="23"/>
  <c r="J45" i="23"/>
  <c r="G46" i="23"/>
  <c r="A20" i="20"/>
  <c r="N19" i="22"/>
  <c r="R19" i="22"/>
  <c r="N12" i="14"/>
  <c r="O12" i="20"/>
  <c r="H19" i="20"/>
  <c r="B21" i="20"/>
  <c r="F21" i="20" s="1"/>
  <c r="C20" i="20"/>
  <c r="J23" i="20"/>
  <c r="C31" i="17"/>
  <c r="E31" i="17" s="1"/>
  <c r="B31" i="17"/>
  <c r="F18" i="15"/>
  <c r="G18" i="15"/>
  <c r="C19" i="15" s="1"/>
  <c r="D19" i="15" s="1"/>
  <c r="B32" i="18" l="1"/>
  <c r="C32" i="18"/>
  <c r="E32" i="18" s="1"/>
  <c r="A21" i="20"/>
  <c r="N20" i="22"/>
  <c r="R20" i="22"/>
  <c r="H20" i="20"/>
  <c r="O13" i="20"/>
  <c r="N13" i="14"/>
  <c r="J24" i="20"/>
  <c r="B22" i="20"/>
  <c r="F22" i="20" s="1"/>
  <c r="C21" i="20"/>
  <c r="B32" i="17"/>
  <c r="C32" i="17"/>
  <c r="E32" i="17" s="1"/>
  <c r="F19" i="15"/>
  <c r="G19" i="15"/>
  <c r="C20" i="15" s="1"/>
  <c r="D20" i="15" s="1"/>
  <c r="B33" i="18" l="1"/>
  <c r="C33" i="18"/>
  <c r="E33" i="18" s="1"/>
  <c r="A22" i="20"/>
  <c r="N21" i="22"/>
  <c r="R21" i="22"/>
  <c r="H21" i="20"/>
  <c r="N14" i="14"/>
  <c r="O14" i="20"/>
  <c r="B23" i="20"/>
  <c r="F23" i="20" s="1"/>
  <c r="C22" i="20"/>
  <c r="J25" i="20"/>
  <c r="B33" i="17"/>
  <c r="C33" i="17"/>
  <c r="E33" i="17" s="1"/>
  <c r="G20" i="15"/>
  <c r="C21" i="15" s="1"/>
  <c r="D21" i="15" s="1"/>
  <c r="C34" i="18" l="1"/>
  <c r="E34" i="18" s="1"/>
  <c r="B34" i="18"/>
  <c r="A23" i="20"/>
  <c r="R22" i="22"/>
  <c r="N22" i="22"/>
  <c r="H22" i="20"/>
  <c r="O15" i="20"/>
  <c r="N15" i="14"/>
  <c r="J26" i="20"/>
  <c r="B24" i="20"/>
  <c r="F24" i="20" s="1"/>
  <c r="C23" i="20"/>
  <c r="C34" i="17"/>
  <c r="E34" i="17" s="1"/>
  <c r="B34" i="17"/>
  <c r="F21" i="15"/>
  <c r="F20" i="15"/>
  <c r="C35" i="18" l="1"/>
  <c r="E35" i="18" s="1"/>
  <c r="B35" i="18"/>
  <c r="A24" i="20"/>
  <c r="N23" i="22"/>
  <c r="R23" i="22"/>
  <c r="H23" i="20"/>
  <c r="B25" i="20"/>
  <c r="F25" i="20" s="1"/>
  <c r="C24" i="20"/>
  <c r="J27" i="20"/>
  <c r="C35" i="17"/>
  <c r="E35" i="17" s="1"/>
  <c r="B35" i="17"/>
  <c r="G21" i="15"/>
  <c r="C22" i="15" s="1"/>
  <c r="D22" i="15" s="1"/>
  <c r="C36" i="18" l="1"/>
  <c r="E36" i="18" s="1"/>
  <c r="B36" i="18"/>
  <c r="A25" i="20"/>
  <c r="N24" i="22"/>
  <c r="R24" i="22"/>
  <c r="N16" i="14"/>
  <c r="O16" i="20"/>
  <c r="H24" i="20"/>
  <c r="J28" i="20"/>
  <c r="B26" i="20"/>
  <c r="F26" i="20" s="1"/>
  <c r="C25" i="20"/>
  <c r="C36" i="17"/>
  <c r="E36" i="17" s="1"/>
  <c r="B36" i="17"/>
  <c r="F22" i="15"/>
  <c r="G22" i="15"/>
  <c r="C23" i="15" s="1"/>
  <c r="D23" i="15" s="1"/>
  <c r="B37" i="18" l="1"/>
  <c r="C37" i="18"/>
  <c r="E37" i="18" s="1"/>
  <c r="A26" i="20"/>
  <c r="N25" i="22"/>
  <c r="R25" i="22"/>
  <c r="H25" i="20"/>
  <c r="O17" i="20"/>
  <c r="N17" i="14"/>
  <c r="B27" i="20"/>
  <c r="F27" i="20" s="1"/>
  <c r="C26" i="20"/>
  <c r="J29" i="20"/>
  <c r="C37" i="17"/>
  <c r="E37" i="17" s="1"/>
  <c r="B37" i="17"/>
  <c r="F23" i="15"/>
  <c r="G23" i="15"/>
  <c r="C24" i="15" s="1"/>
  <c r="D24" i="15" s="1"/>
  <c r="B38" i="18" l="1"/>
  <c r="C38" i="18"/>
  <c r="E38" i="18" s="1"/>
  <c r="A27" i="20"/>
  <c r="R26" i="22"/>
  <c r="N26" i="22"/>
  <c r="N18" i="14"/>
  <c r="O18" i="20"/>
  <c r="H26" i="20"/>
  <c r="B28" i="20"/>
  <c r="F28" i="20" s="1"/>
  <c r="C27" i="20"/>
  <c r="J30" i="20"/>
  <c r="B38" i="17"/>
  <c r="C38" i="17"/>
  <c r="E38" i="17" s="1"/>
  <c r="F24" i="15"/>
  <c r="G24" i="15"/>
  <c r="C25" i="15" s="1"/>
  <c r="D25" i="15" s="1"/>
  <c r="B39" i="18" l="1"/>
  <c r="C39" i="18"/>
  <c r="E39" i="18" s="1"/>
  <c r="A28" i="20"/>
  <c r="N27" i="22"/>
  <c r="R27" i="22"/>
  <c r="O19" i="20"/>
  <c r="N19" i="14"/>
  <c r="H27" i="20"/>
  <c r="J31" i="20"/>
  <c r="B29" i="20"/>
  <c r="C28" i="20"/>
  <c r="C39" i="17"/>
  <c r="E39" i="17" s="1"/>
  <c r="B39" i="17"/>
  <c r="F25" i="15"/>
  <c r="G25" i="15"/>
  <c r="C26" i="15" s="1"/>
  <c r="H21" i="18"/>
  <c r="H21" i="17"/>
  <c r="M46" i="23" l="1"/>
  <c r="B40" i="18"/>
  <c r="C40" i="18"/>
  <c r="E40" i="18" s="1"/>
  <c r="I46" i="23"/>
  <c r="F29" i="20"/>
  <c r="C29" i="20"/>
  <c r="A29" i="20"/>
  <c r="N28" i="22"/>
  <c r="R28" i="22"/>
  <c r="H28" i="20"/>
  <c r="B30" i="20"/>
  <c r="J32" i="20"/>
  <c r="B40" i="17"/>
  <c r="C40" i="17"/>
  <c r="E40" i="17" s="1"/>
  <c r="D26" i="15"/>
  <c r="J21" i="17"/>
  <c r="J21" i="18"/>
  <c r="I21" i="18" l="1"/>
  <c r="L46" i="23" s="1"/>
  <c r="B41" i="18"/>
  <c r="C41" i="18"/>
  <c r="E41" i="18" s="1"/>
  <c r="F30" i="20"/>
  <c r="C30" i="20"/>
  <c r="A30" i="20"/>
  <c r="N29" i="22"/>
  <c r="R29" i="22"/>
  <c r="G26" i="15"/>
  <c r="C27" i="15" s="1"/>
  <c r="D27" i="15" s="1"/>
  <c r="N20" i="14"/>
  <c r="O20" i="20"/>
  <c r="H29" i="20"/>
  <c r="B31" i="20"/>
  <c r="J33" i="20"/>
  <c r="I21" i="17"/>
  <c r="H46" i="23" s="1"/>
  <c r="B41" i="17"/>
  <c r="C41" i="17"/>
  <c r="E41" i="17" s="1"/>
  <c r="F26" i="15"/>
  <c r="G21" i="18" l="1"/>
  <c r="B42" i="18"/>
  <c r="C42" i="18"/>
  <c r="E42" i="18" s="1"/>
  <c r="F31" i="20"/>
  <c r="C31" i="20"/>
  <c r="A31" i="20"/>
  <c r="R30" i="22"/>
  <c r="N30" i="22"/>
  <c r="O21" i="20"/>
  <c r="N21" i="14"/>
  <c r="H30" i="20"/>
  <c r="G27" i="15"/>
  <c r="C28" i="15" s="1"/>
  <c r="D28" i="15" s="1"/>
  <c r="F28" i="15" s="1"/>
  <c r="F27" i="15"/>
  <c r="J34" i="20"/>
  <c r="B32" i="20"/>
  <c r="G21" i="17"/>
  <c r="B42" i="17"/>
  <c r="C42" i="17"/>
  <c r="E42" i="17" s="1"/>
  <c r="N46" i="23" l="1"/>
  <c r="K47" i="23"/>
  <c r="B43" i="18"/>
  <c r="C43" i="18"/>
  <c r="E43" i="18" s="1"/>
  <c r="G47" i="23"/>
  <c r="J46" i="23"/>
  <c r="F32" i="20"/>
  <c r="C32" i="20"/>
  <c r="A32" i="20"/>
  <c r="N31" i="22"/>
  <c r="R31" i="22"/>
  <c r="H31" i="20"/>
  <c r="N22" i="14"/>
  <c r="O22" i="20"/>
  <c r="G28" i="15"/>
  <c r="C29" i="15" s="1"/>
  <c r="D29" i="15" s="1"/>
  <c r="B33" i="20"/>
  <c r="J35" i="20"/>
  <c r="C43" i="17"/>
  <c r="E43" i="17" s="1"/>
  <c r="B43" i="17"/>
  <c r="B44" i="18" l="1"/>
  <c r="C44" i="18"/>
  <c r="E44" i="18" s="1"/>
  <c r="F33" i="20"/>
  <c r="C33" i="20"/>
  <c r="A33" i="20"/>
  <c r="N32" i="22"/>
  <c r="R32" i="22"/>
  <c r="F29" i="15"/>
  <c r="O23" i="20"/>
  <c r="N23" i="14"/>
  <c r="H32" i="20"/>
  <c r="J36" i="20"/>
  <c r="B34" i="20"/>
  <c r="B44" i="17"/>
  <c r="C44" i="17"/>
  <c r="E44" i="17" s="1"/>
  <c r="G29" i="15"/>
  <c r="C30" i="15" s="1"/>
  <c r="D30" i="15" s="1"/>
  <c r="B45" i="18" l="1"/>
  <c r="C45" i="18"/>
  <c r="E45" i="18" s="1"/>
  <c r="F34" i="20"/>
  <c r="C34" i="20"/>
  <c r="A34" i="20"/>
  <c r="N33" i="22"/>
  <c r="R33" i="22"/>
  <c r="H33" i="20"/>
  <c r="F30" i="15"/>
  <c r="N24" i="14"/>
  <c r="O24" i="20"/>
  <c r="B35" i="20"/>
  <c r="J37" i="20"/>
  <c r="B45" i="17"/>
  <c r="C45" i="17"/>
  <c r="E45" i="17" s="1"/>
  <c r="G30" i="15"/>
  <c r="C31" i="15" s="1"/>
  <c r="D31" i="15" s="1"/>
  <c r="B46" i="18" l="1"/>
  <c r="C46" i="18"/>
  <c r="E46" i="18" s="1"/>
  <c r="F35" i="20"/>
  <c r="C35" i="20"/>
  <c r="A35" i="20"/>
  <c r="R34" i="22"/>
  <c r="N34" i="22"/>
  <c r="H34" i="20"/>
  <c r="O25" i="20"/>
  <c r="N25" i="14"/>
  <c r="B36" i="20"/>
  <c r="J38" i="20"/>
  <c r="J40" i="20" s="1"/>
  <c r="C46" i="17"/>
  <c r="E46" i="17" s="1"/>
  <c r="B46" i="17"/>
  <c r="F31" i="15"/>
  <c r="G31" i="15"/>
  <c r="C32" i="15" s="1"/>
  <c r="D32" i="15" s="1"/>
  <c r="B47" i="18" l="1"/>
  <c r="C47" i="18"/>
  <c r="E47" i="18" s="1"/>
  <c r="F36" i="20"/>
  <c r="C36" i="20"/>
  <c r="A36" i="20"/>
  <c r="N35" i="22"/>
  <c r="R35" i="22"/>
  <c r="N26" i="14"/>
  <c r="O26" i="20"/>
  <c r="H35" i="20"/>
  <c r="B37" i="20"/>
  <c r="C47" i="17"/>
  <c r="E47" i="17" s="1"/>
  <c r="B47" i="17"/>
  <c r="F32" i="15"/>
  <c r="G32" i="15"/>
  <c r="C33" i="15" s="1"/>
  <c r="D33" i="15" s="1"/>
  <c r="B48" i="18" l="1"/>
  <c r="C48" i="18"/>
  <c r="E48" i="18" s="1"/>
  <c r="F37" i="20"/>
  <c r="C37" i="20"/>
  <c r="A37" i="20"/>
  <c r="N36" i="22"/>
  <c r="R36" i="22"/>
  <c r="O27" i="20"/>
  <c r="N27" i="14"/>
  <c r="H36" i="20"/>
  <c r="B38" i="20"/>
  <c r="B48" i="17"/>
  <c r="C48" i="17"/>
  <c r="E48" i="17" s="1"/>
  <c r="F33" i="15"/>
  <c r="B49" i="18" l="1"/>
  <c r="C49" i="18"/>
  <c r="E49" i="18" s="1"/>
  <c r="F38" i="20"/>
  <c r="F40" i="20" s="1"/>
  <c r="C38" i="20"/>
  <c r="C40" i="20" s="1"/>
  <c r="A38" i="20"/>
  <c r="N37" i="22"/>
  <c r="R37" i="22"/>
  <c r="H37" i="20"/>
  <c r="C49" i="17"/>
  <c r="E49" i="17" s="1"/>
  <c r="B49" i="17"/>
  <c r="G33" i="15"/>
  <c r="C34" i="15" s="1"/>
  <c r="D34" i="15" s="1"/>
  <c r="B50" i="18" l="1"/>
  <c r="C50" i="18"/>
  <c r="E50" i="18" s="1"/>
  <c r="R38" i="22"/>
  <c r="N38" i="22"/>
  <c r="N28" i="14"/>
  <c r="N40" i="14" s="1"/>
  <c r="O28" i="20"/>
  <c r="O40" i="20" s="1"/>
  <c r="H38" i="20"/>
  <c r="H40" i="20" s="1"/>
  <c r="S40" i="20"/>
  <c r="B50" i="17"/>
  <c r="C50" i="17"/>
  <c r="E50" i="17" s="1"/>
  <c r="F34" i="15"/>
  <c r="B51" i="18" l="1"/>
  <c r="C51" i="18"/>
  <c r="E51" i="18" s="1"/>
  <c r="B51" i="17"/>
  <c r="C51" i="17"/>
  <c r="E51" i="17" s="1"/>
  <c r="G34" i="15"/>
  <c r="H22" i="18"/>
  <c r="H22" i="17"/>
  <c r="M47" i="23" l="1"/>
  <c r="C52" i="18"/>
  <c r="E52" i="18" s="1"/>
  <c r="B52" i="18"/>
  <c r="I47" i="23"/>
  <c r="C52" i="17"/>
  <c r="E52" i="17" s="1"/>
  <c r="B52" i="17"/>
  <c r="J22" i="18"/>
  <c r="J22" i="17"/>
  <c r="I22" i="18" l="1"/>
  <c r="L47" i="23" s="1"/>
  <c r="C53" i="18"/>
  <c r="E53" i="18" s="1"/>
  <c r="B53" i="18"/>
  <c r="I22" i="17"/>
  <c r="H47" i="23" s="1"/>
  <c r="B53" i="17"/>
  <c r="C53" i="17"/>
  <c r="E53" i="17" s="1"/>
  <c r="B54" i="18" l="1"/>
  <c r="C54" i="18"/>
  <c r="E54" i="18" s="1"/>
  <c r="G22" i="18"/>
  <c r="G22" i="17"/>
  <c r="B54" i="17"/>
  <c r="C54" i="17"/>
  <c r="E54" i="17" s="1"/>
  <c r="C55" i="18" l="1"/>
  <c r="E55" i="18" s="1"/>
  <c r="B55" i="18"/>
  <c r="K48" i="23"/>
  <c r="N47" i="23"/>
  <c r="G48" i="23"/>
  <c r="J47" i="23"/>
  <c r="C55" i="17"/>
  <c r="E55" i="17" s="1"/>
  <c r="B55" i="17"/>
  <c r="C56" i="18" l="1"/>
  <c r="E56" i="18" s="1"/>
  <c r="B56" i="18"/>
  <c r="C56" i="17"/>
  <c r="E56" i="17" s="1"/>
  <c r="B56" i="17"/>
  <c r="C57" i="18" l="1"/>
  <c r="E57" i="18" s="1"/>
  <c r="B57" i="18"/>
  <c r="B57" i="17"/>
  <c r="C57" i="17"/>
  <c r="E57" i="17" s="1"/>
  <c r="B58" i="18" l="1"/>
  <c r="C58" i="18"/>
  <c r="E58" i="18" s="1"/>
  <c r="B58" i="17"/>
  <c r="C58" i="17"/>
  <c r="E58" i="17" s="1"/>
  <c r="C59" i="18" l="1"/>
  <c r="E59" i="18" s="1"/>
  <c r="B59" i="18"/>
  <c r="C59" i="17"/>
  <c r="E59" i="17" s="1"/>
  <c r="B59" i="17"/>
  <c r="C60" i="18" l="1"/>
  <c r="E60" i="18" s="1"/>
  <c r="B60" i="18"/>
  <c r="C60" i="17"/>
  <c r="E60" i="17" s="1"/>
  <c r="B60" i="17"/>
  <c r="C61" i="18" l="1"/>
  <c r="E61" i="18" s="1"/>
  <c r="B61" i="18"/>
  <c r="B61" i="17"/>
  <c r="C61" i="17"/>
  <c r="E61" i="17" s="1"/>
  <c r="B62" i="18" l="1"/>
  <c r="C62" i="18"/>
  <c r="E62" i="18" s="1"/>
  <c r="B62" i="17"/>
  <c r="C62" i="17"/>
  <c r="E62" i="17" s="1"/>
  <c r="C63" i="18" l="1"/>
  <c r="E63" i="18" s="1"/>
  <c r="B63" i="18"/>
  <c r="C63" i="17"/>
  <c r="E63" i="17" s="1"/>
  <c r="B63" i="17"/>
  <c r="H23" i="17"/>
  <c r="H23" i="18"/>
  <c r="M48" i="23" l="1"/>
  <c r="C64" i="18"/>
  <c r="E64" i="18" s="1"/>
  <c r="B64" i="18"/>
  <c r="I48" i="23"/>
  <c r="C64" i="17"/>
  <c r="E64" i="17" s="1"/>
  <c r="B64" i="17"/>
  <c r="J23" i="17"/>
  <c r="J23" i="18"/>
  <c r="I23" i="18" l="1"/>
  <c r="L48" i="23" s="1"/>
  <c r="C65" i="18"/>
  <c r="E65" i="18" s="1"/>
  <c r="B65" i="18"/>
  <c r="I23" i="17"/>
  <c r="H48" i="23" s="1"/>
  <c r="B65" i="17"/>
  <c r="C65" i="17"/>
  <c r="E65" i="17" s="1"/>
  <c r="G23" i="18" l="1"/>
  <c r="B66" i="18"/>
  <c r="C66" i="18"/>
  <c r="E66" i="18" s="1"/>
  <c r="G23" i="17"/>
  <c r="B66" i="17"/>
  <c r="C66" i="17"/>
  <c r="E66" i="17" s="1"/>
  <c r="C67" i="18" l="1"/>
  <c r="E67" i="18" s="1"/>
  <c r="B67" i="18"/>
  <c r="N48" i="23"/>
  <c r="K49" i="23"/>
  <c r="G49" i="23"/>
  <c r="J48" i="23"/>
  <c r="C67" i="17"/>
  <c r="E67" i="17" s="1"/>
  <c r="B67" i="17"/>
  <c r="C68" i="18" l="1"/>
  <c r="E68" i="18" s="1"/>
  <c r="B68" i="18"/>
  <c r="C68" i="17"/>
  <c r="E68" i="17" s="1"/>
  <c r="B68" i="17"/>
  <c r="C69" i="18" l="1"/>
  <c r="E69" i="18" s="1"/>
  <c r="B69" i="18"/>
  <c r="B69" i="17"/>
  <c r="C69" i="17"/>
  <c r="E69" i="17" s="1"/>
  <c r="B70" i="18" l="1"/>
  <c r="C70" i="18"/>
  <c r="E70" i="18" s="1"/>
  <c r="B70" i="17"/>
  <c r="C70" i="17"/>
  <c r="E70" i="17" s="1"/>
  <c r="C71" i="18" l="1"/>
  <c r="E71" i="18" s="1"/>
  <c r="B71" i="18"/>
  <c r="C71" i="17"/>
  <c r="E71" i="17" s="1"/>
  <c r="B71" i="17"/>
  <c r="C72" i="18" l="1"/>
  <c r="E72" i="18" s="1"/>
  <c r="B72" i="18"/>
  <c r="C72" i="17"/>
  <c r="E72" i="17" s="1"/>
  <c r="B72" i="17"/>
  <c r="C73" i="18" l="1"/>
  <c r="E73" i="18" s="1"/>
  <c r="B73" i="18"/>
  <c r="B73" i="17"/>
  <c r="C73" i="17"/>
  <c r="E73" i="17" s="1"/>
  <c r="B74" i="18" l="1"/>
  <c r="C74" i="18"/>
  <c r="E74" i="18" s="1"/>
  <c r="B74" i="17"/>
  <c r="C74" i="17"/>
  <c r="E74" i="17" s="1"/>
  <c r="C75" i="18" l="1"/>
  <c r="E75" i="18" s="1"/>
  <c r="B75" i="18"/>
  <c r="C75" i="17"/>
  <c r="E75" i="17" s="1"/>
  <c r="B75" i="17"/>
  <c r="H24" i="18"/>
  <c r="H24" i="17"/>
  <c r="M49" i="23" l="1"/>
  <c r="C76" i="18"/>
  <c r="E76" i="18" s="1"/>
  <c r="B76" i="18"/>
  <c r="I49" i="23"/>
  <c r="C76" i="17"/>
  <c r="E76" i="17" s="1"/>
  <c r="B76" i="17"/>
  <c r="J24" i="18"/>
  <c r="J24" i="17"/>
  <c r="I24" i="18" l="1"/>
  <c r="L49" i="23" s="1"/>
  <c r="C77" i="18"/>
  <c r="E77" i="18" s="1"/>
  <c r="B77" i="18"/>
  <c r="I24" i="17"/>
  <c r="H49" i="23" s="1"/>
  <c r="B77" i="17"/>
  <c r="C77" i="17"/>
  <c r="E77" i="17" s="1"/>
  <c r="G24" i="18" l="1"/>
  <c r="B78" i="18"/>
  <c r="C78" i="18"/>
  <c r="E78" i="18" s="1"/>
  <c r="G24" i="17"/>
  <c r="B78" i="17"/>
  <c r="C78" i="17"/>
  <c r="E78" i="17" s="1"/>
  <c r="C79" i="18" l="1"/>
  <c r="E79" i="18" s="1"/>
  <c r="B79" i="18"/>
  <c r="N49" i="23"/>
  <c r="K50" i="23"/>
  <c r="G50" i="23"/>
  <c r="J49" i="23"/>
  <c r="C79" i="17"/>
  <c r="E79" i="17" s="1"/>
  <c r="B79" i="17"/>
  <c r="C80" i="18" l="1"/>
  <c r="E80" i="18" s="1"/>
  <c r="B80" i="18"/>
  <c r="C80" i="17"/>
  <c r="E80" i="17" s="1"/>
  <c r="B80" i="17"/>
  <c r="C81" i="18" l="1"/>
  <c r="E81" i="18" s="1"/>
  <c r="B81" i="18"/>
  <c r="B81" i="17"/>
  <c r="C81" i="17"/>
  <c r="E81" i="17" s="1"/>
  <c r="B82" i="18" l="1"/>
  <c r="C82" i="18"/>
  <c r="E82" i="18" s="1"/>
  <c r="B82" i="17"/>
  <c r="C82" i="17"/>
  <c r="E82" i="17" s="1"/>
  <c r="C83" i="18" l="1"/>
  <c r="E83" i="18" s="1"/>
  <c r="B83" i="18"/>
  <c r="C83" i="17"/>
  <c r="E83" i="17" s="1"/>
  <c r="B83" i="17"/>
  <c r="C84" i="18" l="1"/>
  <c r="E84" i="18" s="1"/>
  <c r="B84" i="18"/>
  <c r="C84" i="17"/>
  <c r="E84" i="17" s="1"/>
  <c r="B84" i="17"/>
  <c r="C85" i="18" l="1"/>
  <c r="E85" i="18" s="1"/>
  <c r="B85" i="18"/>
  <c r="B85" i="17"/>
  <c r="C85" i="17"/>
  <c r="E85" i="17" s="1"/>
  <c r="B86" i="18" l="1"/>
  <c r="C86" i="18"/>
  <c r="E86" i="18" s="1"/>
  <c r="B86" i="17"/>
  <c r="C86" i="17"/>
  <c r="E86" i="17" s="1"/>
  <c r="C87" i="18" l="1"/>
  <c r="E87" i="18" s="1"/>
  <c r="B87" i="18"/>
  <c r="C87" i="17"/>
  <c r="E87" i="17" s="1"/>
  <c r="B87" i="17"/>
  <c r="H25" i="17"/>
  <c r="H25" i="18"/>
  <c r="M50" i="23" l="1"/>
  <c r="C88" i="18"/>
  <c r="E88" i="18" s="1"/>
  <c r="B88" i="18"/>
  <c r="I50" i="23"/>
  <c r="C88" i="17"/>
  <c r="E88" i="17" s="1"/>
  <c r="B88" i="17"/>
  <c r="J25" i="17"/>
  <c r="J25" i="18"/>
  <c r="I25" i="18" l="1"/>
  <c r="L50" i="23" s="1"/>
  <c r="C89" i="18"/>
  <c r="E89" i="18" s="1"/>
  <c r="B89" i="18"/>
  <c r="I25" i="17"/>
  <c r="H50" i="23" s="1"/>
  <c r="B89" i="17"/>
  <c r="C89" i="17"/>
  <c r="E89" i="17" s="1"/>
  <c r="G25" i="17" l="1"/>
  <c r="G51" i="23" s="1"/>
  <c r="B90" i="18"/>
  <c r="C90" i="18"/>
  <c r="E90" i="18" s="1"/>
  <c r="G25" i="18"/>
  <c r="B90" i="17"/>
  <c r="C90" i="17"/>
  <c r="E90" i="17" s="1"/>
  <c r="J50" i="23" l="1"/>
  <c r="C91" i="18"/>
  <c r="E91" i="18" s="1"/>
  <c r="B91" i="18"/>
  <c r="N50" i="23"/>
  <c r="K51" i="23"/>
  <c r="C91" i="17"/>
  <c r="E91" i="17" s="1"/>
  <c r="B91" i="17"/>
  <c r="C92" i="18" l="1"/>
  <c r="E92" i="18" s="1"/>
  <c r="B92" i="18"/>
  <c r="C92" i="17"/>
  <c r="E92" i="17" s="1"/>
  <c r="B92" i="17"/>
  <c r="C93" i="18" l="1"/>
  <c r="E93" i="18" s="1"/>
  <c r="B93" i="18"/>
  <c r="B93" i="17"/>
  <c r="C93" i="17"/>
  <c r="E93" i="17" s="1"/>
  <c r="B94" i="18" l="1"/>
  <c r="C94" i="18"/>
  <c r="E94" i="18" s="1"/>
  <c r="B94" i="17"/>
  <c r="C94" i="17"/>
  <c r="E94" i="17" s="1"/>
  <c r="C95" i="18" l="1"/>
  <c r="E95" i="18" s="1"/>
  <c r="B95" i="18"/>
  <c r="C95" i="17"/>
  <c r="E95" i="17" s="1"/>
  <c r="B95" i="17"/>
  <c r="C96" i="18" l="1"/>
  <c r="E96" i="18" s="1"/>
  <c r="B96" i="18"/>
  <c r="C96" i="17"/>
  <c r="E96" i="17" s="1"/>
  <c r="B96" i="17"/>
  <c r="C97" i="18" l="1"/>
  <c r="E97" i="18" s="1"/>
  <c r="B97" i="18"/>
  <c r="B97" i="17"/>
  <c r="C97" i="17"/>
  <c r="E97" i="17" s="1"/>
  <c r="B98" i="18" l="1"/>
  <c r="C98" i="18"/>
  <c r="E98" i="18" s="1"/>
  <c r="B98" i="17"/>
  <c r="C98" i="17"/>
  <c r="E98" i="17" s="1"/>
  <c r="C99" i="18" l="1"/>
  <c r="E99" i="18" s="1"/>
  <c r="B99" i="18"/>
  <c r="C99" i="17"/>
  <c r="E99" i="17" s="1"/>
  <c r="B99" i="17"/>
  <c r="H26" i="18"/>
  <c r="H26" i="17"/>
  <c r="M51" i="23" l="1"/>
  <c r="C100" i="18"/>
  <c r="E100" i="18" s="1"/>
  <c r="B100" i="18"/>
  <c r="I51" i="23"/>
  <c r="C100" i="17"/>
  <c r="E100" i="17" s="1"/>
  <c r="B100" i="17"/>
  <c r="J26" i="18"/>
  <c r="J26" i="17"/>
  <c r="I26" i="18" l="1"/>
  <c r="L51" i="23" s="1"/>
  <c r="C101" i="18"/>
  <c r="E101" i="18" s="1"/>
  <c r="B101" i="18"/>
  <c r="I26" i="17"/>
  <c r="H51" i="23" s="1"/>
  <c r="B101" i="17"/>
  <c r="C101" i="17"/>
  <c r="E101" i="17" s="1"/>
  <c r="G26" i="17" l="1"/>
  <c r="J51" i="23" s="1"/>
  <c r="G26" i="18"/>
  <c r="B102" i="18"/>
  <c r="C102" i="18"/>
  <c r="E102" i="18" s="1"/>
  <c r="B102" i="17"/>
  <c r="C102" i="17"/>
  <c r="E102" i="17" s="1"/>
  <c r="G52" i="23" l="1"/>
  <c r="N51" i="23"/>
  <c r="K52" i="23"/>
  <c r="C103" i="18"/>
  <c r="E103" i="18" s="1"/>
  <c r="B103" i="18"/>
  <c r="C103" i="17"/>
  <c r="E103" i="17" s="1"/>
  <c r="B103" i="17"/>
  <c r="C104" i="18" l="1"/>
  <c r="E104" i="18" s="1"/>
  <c r="B104" i="18"/>
  <c r="C104" i="17"/>
  <c r="E104" i="17" s="1"/>
  <c r="B104" i="17"/>
  <c r="C105" i="18" l="1"/>
  <c r="E105" i="18" s="1"/>
  <c r="B105" i="18"/>
  <c r="B105" i="17"/>
  <c r="C105" i="17"/>
  <c r="E105" i="17" s="1"/>
  <c r="B106" i="18" l="1"/>
  <c r="C106" i="18"/>
  <c r="E106" i="18" s="1"/>
  <c r="B106" i="17"/>
  <c r="C106" i="17"/>
  <c r="E106" i="17" s="1"/>
  <c r="C107" i="18" l="1"/>
  <c r="E107" i="18" s="1"/>
  <c r="B107" i="18"/>
  <c r="C107" i="17"/>
  <c r="E107" i="17" s="1"/>
  <c r="B107" i="17"/>
  <c r="C108" i="18" l="1"/>
  <c r="E108" i="18" s="1"/>
  <c r="B108" i="18"/>
  <c r="C108" i="17"/>
  <c r="E108" i="17" s="1"/>
  <c r="B108" i="17"/>
  <c r="C109" i="18" l="1"/>
  <c r="E109" i="18" s="1"/>
  <c r="B109" i="18"/>
  <c r="B109" i="17"/>
  <c r="C109" i="17"/>
  <c r="E109" i="17" s="1"/>
  <c r="B110" i="18" l="1"/>
  <c r="C110" i="18"/>
  <c r="E110" i="18" s="1"/>
  <c r="B110" i="17"/>
  <c r="C110" i="17"/>
  <c r="E110" i="17" s="1"/>
  <c r="C111" i="18" l="1"/>
  <c r="E111" i="18" s="1"/>
  <c r="B111" i="18"/>
  <c r="C111" i="17"/>
  <c r="E111" i="17" s="1"/>
  <c r="B111" i="17"/>
  <c r="H27" i="18"/>
  <c r="H27" i="17"/>
  <c r="M52" i="23" l="1"/>
  <c r="C112" i="18"/>
  <c r="E112" i="18" s="1"/>
  <c r="B112" i="18"/>
  <c r="I52" i="23"/>
  <c r="C112" i="17"/>
  <c r="E112" i="17" s="1"/>
  <c r="B112" i="17"/>
  <c r="J27" i="17"/>
  <c r="J27" i="18"/>
  <c r="I27" i="18" l="1"/>
  <c r="L52" i="23" s="1"/>
  <c r="C113" i="18"/>
  <c r="E113" i="18" s="1"/>
  <c r="B113" i="18"/>
  <c r="I27" i="17"/>
  <c r="H52" i="23" s="1"/>
  <c r="B113" i="17"/>
  <c r="C113" i="17"/>
  <c r="E113" i="17" s="1"/>
  <c r="G27" i="17" l="1"/>
  <c r="J52" i="23" s="1"/>
  <c r="G27" i="18"/>
  <c r="B114" i="18"/>
  <c r="C114" i="18"/>
  <c r="E114" i="18" s="1"/>
  <c r="B114" i="17"/>
  <c r="C114" i="17"/>
  <c r="E114" i="17" s="1"/>
  <c r="G53" i="23" l="1"/>
  <c r="N52" i="23"/>
  <c r="K53" i="23"/>
  <c r="C115" i="18"/>
  <c r="E115" i="18" s="1"/>
  <c r="B115" i="18"/>
  <c r="C115" i="17"/>
  <c r="E115" i="17" s="1"/>
  <c r="B115" i="17"/>
  <c r="C116" i="18" l="1"/>
  <c r="E116" i="18" s="1"/>
  <c r="B116" i="18"/>
  <c r="C116" i="17"/>
  <c r="E116" i="17" s="1"/>
  <c r="B116" i="17"/>
  <c r="C117" i="18" l="1"/>
  <c r="E117" i="18" s="1"/>
  <c r="B117" i="18"/>
  <c r="B117" i="17"/>
  <c r="C117" i="17"/>
  <c r="E117" i="17" s="1"/>
  <c r="B118" i="18" l="1"/>
  <c r="C118" i="18"/>
  <c r="E118" i="18" s="1"/>
  <c r="B118" i="17"/>
  <c r="C118" i="17"/>
  <c r="E118" i="17" s="1"/>
  <c r="C119" i="18" l="1"/>
  <c r="E119" i="18" s="1"/>
  <c r="B119" i="18"/>
  <c r="C119" i="17"/>
  <c r="E119" i="17" s="1"/>
  <c r="B119" i="17"/>
  <c r="C120" i="18" l="1"/>
  <c r="E120" i="18" s="1"/>
  <c r="B120" i="18"/>
  <c r="C120" i="17"/>
  <c r="E120" i="17" s="1"/>
  <c r="B120" i="17"/>
  <c r="C121" i="18" l="1"/>
  <c r="E121" i="18" s="1"/>
  <c r="B121" i="18"/>
  <c r="B121" i="17"/>
  <c r="C121" i="17"/>
  <c r="E121" i="17" s="1"/>
  <c r="B122" i="18" l="1"/>
  <c r="C122" i="18"/>
  <c r="E122" i="18" s="1"/>
  <c r="B122" i="17"/>
  <c r="C122" i="17"/>
  <c r="E122" i="17" s="1"/>
  <c r="C123" i="18" l="1"/>
  <c r="E123" i="18" s="1"/>
  <c r="B123" i="18"/>
  <c r="C123" i="17"/>
  <c r="E123" i="17" s="1"/>
  <c r="B123" i="17"/>
  <c r="H28" i="17"/>
  <c r="H28" i="18"/>
  <c r="M53" i="23" l="1"/>
  <c r="C124" i="18"/>
  <c r="E124" i="18" s="1"/>
  <c r="B124" i="18"/>
  <c r="I53" i="23"/>
  <c r="B124" i="17"/>
  <c r="C124" i="17"/>
  <c r="E124" i="17" s="1"/>
  <c r="J28" i="17"/>
  <c r="J28" i="18"/>
  <c r="I28" i="18" l="1"/>
  <c r="L53" i="23" s="1"/>
  <c r="C125" i="18"/>
  <c r="E125" i="18" s="1"/>
  <c r="B125" i="18"/>
  <c r="I28" i="17"/>
  <c r="H53" i="23" s="1"/>
  <c r="B125" i="17"/>
  <c r="C125" i="17"/>
  <c r="E125" i="17" s="1"/>
  <c r="G28" i="17" l="1"/>
  <c r="J53" i="23" s="1"/>
  <c r="G28" i="18"/>
  <c r="B126" i="18"/>
  <c r="C126" i="18"/>
  <c r="E126" i="18" s="1"/>
  <c r="B126" i="17"/>
  <c r="C126" i="17"/>
  <c r="E126" i="17" s="1"/>
  <c r="G54" i="23" l="1"/>
  <c r="N53" i="23"/>
  <c r="K54" i="23"/>
  <c r="C127" i="18"/>
  <c r="E127" i="18" s="1"/>
  <c r="B127" i="18"/>
  <c r="B127" i="17"/>
  <c r="C127" i="17"/>
  <c r="E127" i="17" s="1"/>
  <c r="B128" i="18" l="1"/>
  <c r="C128" i="18"/>
  <c r="E128" i="18" s="1"/>
  <c r="B128" i="17"/>
  <c r="C128" i="17"/>
  <c r="E128" i="17" s="1"/>
  <c r="B129" i="18" l="1"/>
  <c r="C129" i="18"/>
  <c r="E129" i="18" s="1"/>
  <c r="B129" i="17"/>
  <c r="C129" i="17"/>
  <c r="E129" i="17" s="1"/>
  <c r="C130" i="18" l="1"/>
  <c r="E130" i="18" s="1"/>
  <c r="B130" i="18"/>
  <c r="B130" i="17"/>
  <c r="C130" i="17"/>
  <c r="E130" i="17" s="1"/>
  <c r="B131" i="18" l="1"/>
  <c r="C131" i="18"/>
  <c r="E131" i="18" s="1"/>
  <c r="B131" i="17"/>
  <c r="C131" i="17"/>
  <c r="E131" i="17" s="1"/>
  <c r="C132" i="18" l="1"/>
  <c r="E132" i="18" s="1"/>
  <c r="B132" i="18"/>
  <c r="B132" i="17"/>
  <c r="C132" i="17"/>
  <c r="E132" i="17" s="1"/>
  <c r="B133" i="18" l="1"/>
  <c r="C133" i="18"/>
  <c r="E133" i="18" s="1"/>
  <c r="B133" i="17"/>
  <c r="C133" i="17"/>
  <c r="E133" i="17" s="1"/>
  <c r="B134" i="18" l="1"/>
  <c r="C134" i="18"/>
  <c r="E134" i="18" s="1"/>
  <c r="B134" i="17"/>
  <c r="C134" i="17"/>
  <c r="E134" i="17" s="1"/>
  <c r="C135" i="18" l="1"/>
  <c r="E135" i="18" s="1"/>
  <c r="B135" i="18"/>
  <c r="B135" i="17"/>
  <c r="C135" i="17"/>
  <c r="E135" i="17" s="1"/>
  <c r="H29" i="17"/>
  <c r="H29" i="18"/>
  <c r="M54" i="23" l="1"/>
  <c r="B136" i="18"/>
  <c r="C136" i="18"/>
  <c r="E136" i="18" s="1"/>
  <c r="I54" i="23"/>
  <c r="B136" i="17"/>
  <c r="C136" i="17"/>
  <c r="E136" i="17" s="1"/>
  <c r="J29" i="17"/>
  <c r="J29" i="18"/>
  <c r="I29" i="18" l="1"/>
  <c r="L54" i="23" s="1"/>
  <c r="C137" i="18"/>
  <c r="E137" i="18" s="1"/>
  <c r="B137" i="18"/>
  <c r="I29" i="17"/>
  <c r="H54" i="23" s="1"/>
  <c r="B137" i="17"/>
  <c r="C137" i="17"/>
  <c r="E137" i="17" s="1"/>
  <c r="G29" i="17" l="1"/>
  <c r="J54" i="23" s="1"/>
  <c r="G29" i="18"/>
  <c r="C138" i="18"/>
  <c r="E138" i="18" s="1"/>
  <c r="B138" i="18"/>
  <c r="B138" i="17"/>
  <c r="C138" i="17"/>
  <c r="E138" i="17" s="1"/>
  <c r="G55" i="23" l="1"/>
  <c r="B139" i="18"/>
  <c r="C139" i="18"/>
  <c r="E139" i="18" s="1"/>
  <c r="N54" i="23"/>
  <c r="K55" i="23"/>
  <c r="B139" i="17"/>
  <c r="C139" i="17"/>
  <c r="E139" i="17" s="1"/>
  <c r="H30" i="17"/>
  <c r="H30" i="18"/>
  <c r="M55" i="23" l="1"/>
  <c r="H51" i="18"/>
  <c r="I55" i="23"/>
  <c r="I77" i="23" s="1"/>
  <c r="H51" i="17"/>
  <c r="J30" i="17"/>
  <c r="J30" i="18"/>
  <c r="I30" i="18" l="1"/>
  <c r="J51" i="18"/>
  <c r="I30" i="17"/>
  <c r="J51" i="17"/>
  <c r="L55" i="23" l="1"/>
  <c r="L77" i="23" s="1"/>
  <c r="H55" i="23"/>
  <c r="H77" i="23" s="1"/>
  <c r="M77" i="23"/>
  <c r="I51" i="18"/>
  <c r="G30" i="18"/>
  <c r="I51" i="17"/>
  <c r="G30" i="17"/>
  <c r="J55" i="23" s="1"/>
  <c r="N55" i="23" l="1"/>
  <c r="G31" i="18"/>
  <c r="K56" i="23"/>
  <c r="G31" i="17"/>
  <c r="J56" i="23" s="1"/>
  <c r="G56" i="23"/>
  <c r="N56" i="23" l="1"/>
  <c r="K57" i="23"/>
  <c r="G32" i="18"/>
  <c r="G32" i="17"/>
  <c r="J57" i="23" s="1"/>
  <c r="G57" i="23"/>
  <c r="G33" i="18" l="1"/>
  <c r="G34" i="18" s="1"/>
  <c r="N57" i="23"/>
  <c r="K58" i="23"/>
  <c r="G33" i="17"/>
  <c r="J58" i="23" s="1"/>
  <c r="G58" i="23"/>
  <c r="N58" i="23" l="1"/>
  <c r="K59" i="23"/>
  <c r="G34" i="17"/>
  <c r="J59" i="23" s="1"/>
  <c r="G59" i="23"/>
  <c r="N59" i="23" l="1"/>
  <c r="K60" i="23"/>
  <c r="G35" i="18"/>
  <c r="G35" i="17"/>
  <c r="J60" i="23" s="1"/>
  <c r="G60" i="23"/>
  <c r="N60" i="23" l="1"/>
  <c r="K61" i="23"/>
  <c r="G36" i="18"/>
  <c r="G36" i="17"/>
  <c r="J61" i="23" s="1"/>
  <c r="G61" i="23"/>
  <c r="N61" i="23" l="1"/>
  <c r="K62" i="23"/>
  <c r="G37" i="18"/>
  <c r="G37" i="17"/>
  <c r="J62" i="23" s="1"/>
  <c r="G62" i="23"/>
  <c r="N62" i="23" l="1"/>
  <c r="K63" i="23"/>
  <c r="G38" i="18"/>
  <c r="G38" i="17"/>
  <c r="J63" i="23" s="1"/>
  <c r="G63" i="23"/>
  <c r="N63" i="23" l="1"/>
  <c r="K64" i="23"/>
  <c r="G39" i="18"/>
  <c r="G39" i="17"/>
  <c r="J64" i="23" s="1"/>
  <c r="G64" i="23"/>
  <c r="N64" i="23" l="1"/>
  <c r="G40" i="18"/>
  <c r="K65" i="23"/>
  <c r="G40" i="17"/>
  <c r="J65" i="23" s="1"/>
  <c r="G65" i="23"/>
  <c r="N65" i="23" l="1"/>
  <c r="G41" i="18"/>
  <c r="K66" i="23"/>
  <c r="G41" i="17"/>
  <c r="J66" i="23" s="1"/>
  <c r="G66" i="23"/>
  <c r="N66" i="23" l="1"/>
  <c r="K67" i="23"/>
  <c r="G42" i="18"/>
  <c r="G42" i="17"/>
  <c r="J67" i="23" s="1"/>
  <c r="G67" i="23"/>
  <c r="N67" i="23" l="1"/>
  <c r="K68" i="23"/>
  <c r="G43" i="18"/>
  <c r="G43" i="17"/>
  <c r="J68" i="23" s="1"/>
  <c r="G68" i="23"/>
  <c r="N68" i="23" l="1"/>
  <c r="G44" i="18"/>
  <c r="K69" i="23"/>
  <c r="G44" i="17"/>
  <c r="J69" i="23" s="1"/>
  <c r="G69" i="23"/>
  <c r="N69" i="23" l="1"/>
  <c r="G45" i="18"/>
  <c r="K70" i="23"/>
  <c r="G45" i="17"/>
  <c r="J70" i="23" s="1"/>
  <c r="G70" i="23"/>
  <c r="N70" i="23" l="1"/>
  <c r="G46" i="18"/>
  <c r="K71" i="23"/>
  <c r="G46" i="17"/>
  <c r="J71" i="23" s="1"/>
  <c r="G71" i="23"/>
  <c r="N71" i="23" l="1"/>
  <c r="G47" i="18"/>
  <c r="K72" i="23"/>
  <c r="G47" i="17"/>
  <c r="J72" i="23" s="1"/>
  <c r="G72" i="23"/>
  <c r="N72" i="23" l="1"/>
  <c r="G48" i="18"/>
  <c r="K73" i="23"/>
  <c r="G48" i="17"/>
  <c r="J73" i="23" s="1"/>
  <c r="G73" i="23"/>
  <c r="N73" i="23" l="1"/>
  <c r="G49" i="18"/>
  <c r="K74" i="23"/>
  <c r="G49" i="17"/>
  <c r="G74" i="23"/>
  <c r="K75" i="23" l="1"/>
  <c r="N74" i="23"/>
  <c r="G75" i="23"/>
  <c r="J74" i="23"/>
  <c r="E20" i="16" l="1"/>
  <c r="D20" i="16" s="1"/>
  <c r="B20" i="16" s="1"/>
  <c r="C21" i="16" l="1"/>
  <c r="E21" i="16" s="1"/>
  <c r="D21" i="16" s="1"/>
  <c r="B21" i="16" s="1"/>
  <c r="C22" i="16" l="1"/>
  <c r="E22" i="16" s="1"/>
  <c r="D22" i="16" s="1"/>
  <c r="B22" i="16" s="1"/>
  <c r="C23" i="16" l="1"/>
  <c r="E23" i="16"/>
  <c r="D23" i="16" s="1"/>
  <c r="B23" i="16" s="1"/>
  <c r="C24" i="16" l="1"/>
  <c r="E24" i="16"/>
  <c r="D24" i="16" s="1"/>
  <c r="B24" i="16" s="1"/>
  <c r="C25" i="16" l="1"/>
  <c r="E25" i="16"/>
  <c r="D25" i="16" s="1"/>
  <c r="B25" i="16" s="1"/>
  <c r="C26" i="16" l="1"/>
  <c r="E26" i="16"/>
  <c r="D26" i="16" s="1"/>
  <c r="B26" i="16" s="1"/>
  <c r="C27" i="16" l="1"/>
  <c r="E27" i="16"/>
  <c r="D27" i="16" s="1"/>
  <c r="B27" i="16" s="1"/>
  <c r="J20" i="16"/>
  <c r="H20" i="16"/>
  <c r="S8" i="14" l="1"/>
  <c r="F8" i="14" s="1"/>
  <c r="T8" i="20"/>
  <c r="H8" i="14" l="1"/>
  <c r="C28" i="16"/>
  <c r="I20" i="16" l="1"/>
  <c r="G20" i="16" s="1"/>
  <c r="E28" i="16"/>
  <c r="D28" i="16" s="1"/>
  <c r="B28" i="16" s="1"/>
  <c r="C29" i="16" l="1"/>
  <c r="E29" i="16" s="1"/>
  <c r="D29" i="16" s="1"/>
  <c r="B29" i="16" s="1"/>
  <c r="C30" i="16" l="1"/>
  <c r="E30" i="16" s="1"/>
  <c r="D30" i="16" l="1"/>
  <c r="B30" i="16" s="1"/>
  <c r="C31" i="16" l="1"/>
  <c r="E31" i="16" s="1"/>
  <c r="D31" i="16" l="1"/>
  <c r="B31" i="16" s="1"/>
  <c r="C32" i="16" l="1"/>
  <c r="E32" i="16" s="1"/>
  <c r="D32" i="16" l="1"/>
  <c r="B32" i="16" s="1"/>
  <c r="C33" i="16" l="1"/>
  <c r="E33" i="16" s="1"/>
  <c r="D33" i="16" l="1"/>
  <c r="B33" i="16" s="1"/>
  <c r="C34" i="16" l="1"/>
  <c r="E34" i="16" s="1"/>
  <c r="D8" i="21"/>
  <c r="D45" i="23"/>
  <c r="E45" i="23"/>
  <c r="F45" i="23"/>
  <c r="C46" i="23"/>
  <c r="D34" i="16" l="1"/>
  <c r="B34" i="16" s="1"/>
  <c r="C35" i="16" l="1"/>
  <c r="E35" i="16" s="1"/>
  <c r="D35" i="16" l="1"/>
  <c r="B35" i="16" s="1"/>
  <c r="C36" i="16" l="1"/>
  <c r="E36" i="16" s="1"/>
  <c r="D36" i="16" l="1"/>
  <c r="B36" i="16" s="1"/>
  <c r="C37" i="16" l="1"/>
  <c r="E37" i="16" s="1"/>
  <c r="D37" i="16" l="1"/>
  <c r="B37" i="16" s="1"/>
  <c r="C38" i="16" l="1"/>
  <c r="E38" i="16" s="1"/>
  <c r="D38" i="16" l="1"/>
  <c r="B38" i="16" s="1"/>
  <c r="C39" i="16" l="1"/>
  <c r="E39" i="16" s="1"/>
  <c r="H21" i="16"/>
  <c r="J21" i="16"/>
  <c r="T9" i="20" l="1"/>
  <c r="S9" i="14"/>
  <c r="F9" i="14" s="1"/>
  <c r="I21" i="16"/>
  <c r="E46" i="23"/>
  <c r="D39" i="16"/>
  <c r="B39" i="16" s="1"/>
  <c r="H9" i="14" l="1"/>
  <c r="G21" i="16"/>
  <c r="D46" i="23"/>
  <c r="C40" i="16"/>
  <c r="E40" i="16" s="1"/>
  <c r="C47" i="23" l="1"/>
  <c r="D9" i="21"/>
  <c r="F46" i="23"/>
  <c r="D40" i="16"/>
  <c r="B40" i="16" s="1"/>
  <c r="C41" i="16" l="1"/>
  <c r="E41" i="16" s="1"/>
  <c r="D41" i="16" l="1"/>
  <c r="B41" i="16" s="1"/>
  <c r="C42" i="16" l="1"/>
  <c r="E42" i="16" s="1"/>
  <c r="D42" i="16" l="1"/>
  <c r="B42" i="16" s="1"/>
  <c r="C43" i="16" l="1"/>
  <c r="E43" i="16" s="1"/>
  <c r="D43" i="16" l="1"/>
  <c r="B43" i="16" s="1"/>
  <c r="C44" i="16" l="1"/>
  <c r="E44" i="16" s="1"/>
  <c r="D44" i="16" l="1"/>
  <c r="B44" i="16" s="1"/>
  <c r="C45" i="16" l="1"/>
  <c r="E45" i="16" s="1"/>
  <c r="D45" i="16" l="1"/>
  <c r="B45" i="16" s="1"/>
  <c r="C46" i="16" l="1"/>
  <c r="E46" i="16" s="1"/>
  <c r="D46" i="16" l="1"/>
  <c r="B46" i="16" s="1"/>
  <c r="C47" i="16" l="1"/>
  <c r="E47" i="16" s="1"/>
  <c r="D47" i="16" l="1"/>
  <c r="B47" i="16" s="1"/>
  <c r="C48" i="16" l="1"/>
  <c r="E48" i="16" s="1"/>
  <c r="D48" i="16" l="1"/>
  <c r="B48" i="16" s="1"/>
  <c r="C49" i="16" l="1"/>
  <c r="E49" i="16" s="1"/>
  <c r="D49" i="16" l="1"/>
  <c r="B49" i="16" s="1"/>
  <c r="C50" i="16" l="1"/>
  <c r="E50" i="16" s="1"/>
  <c r="D50" i="16" l="1"/>
  <c r="B50" i="16" s="1"/>
  <c r="C51" i="16" l="1"/>
  <c r="E51" i="16" s="1"/>
  <c r="H22" i="16"/>
  <c r="J22" i="16"/>
  <c r="T10" i="20" l="1"/>
  <c r="S10" i="14"/>
  <c r="F10" i="14" s="1"/>
  <c r="I22" i="16"/>
  <c r="E47" i="23"/>
  <c r="D51" i="16"/>
  <c r="B51" i="16" s="1"/>
  <c r="H10" i="14" l="1"/>
  <c r="G22" i="16"/>
  <c r="D47" i="23"/>
  <c r="C52" i="16"/>
  <c r="E52" i="16" s="1"/>
  <c r="F47" i="23" l="1"/>
  <c r="D10" i="21"/>
  <c r="C48" i="23"/>
  <c r="D52" i="16"/>
  <c r="B52" i="16" s="1"/>
  <c r="C53" i="16" l="1"/>
  <c r="E53" i="16" s="1"/>
  <c r="D53" i="16" l="1"/>
  <c r="B53" i="16" s="1"/>
  <c r="C54" i="16" l="1"/>
  <c r="E54" i="16" s="1"/>
  <c r="D54" i="16" l="1"/>
  <c r="B54" i="16" s="1"/>
  <c r="C55" i="16" l="1"/>
  <c r="E55" i="16" s="1"/>
  <c r="D55" i="16" l="1"/>
  <c r="B55" i="16" s="1"/>
  <c r="C56" i="16" l="1"/>
  <c r="E56" i="16" s="1"/>
  <c r="D56" i="16" l="1"/>
  <c r="B56" i="16" s="1"/>
  <c r="C57" i="16" l="1"/>
  <c r="E57" i="16" s="1"/>
  <c r="D57" i="16" l="1"/>
  <c r="B57" i="16" s="1"/>
  <c r="C58" i="16" l="1"/>
  <c r="E58" i="16" s="1"/>
  <c r="D58" i="16" l="1"/>
  <c r="B58" i="16" s="1"/>
  <c r="C59" i="16" l="1"/>
  <c r="E59" i="16" s="1"/>
  <c r="D59" i="16" l="1"/>
  <c r="B59" i="16" s="1"/>
  <c r="C60" i="16" l="1"/>
  <c r="E60" i="16" s="1"/>
  <c r="D60" i="16" l="1"/>
  <c r="B60" i="16" s="1"/>
  <c r="C61" i="16" l="1"/>
  <c r="E61" i="16" s="1"/>
  <c r="D61" i="16" l="1"/>
  <c r="B61" i="16" s="1"/>
  <c r="C62" i="16" l="1"/>
  <c r="E62" i="16" s="1"/>
  <c r="D62" i="16" l="1"/>
  <c r="B62" i="16" s="1"/>
  <c r="C63" i="16" l="1"/>
  <c r="E63" i="16" s="1"/>
  <c r="J23" i="16"/>
  <c r="H23" i="16"/>
  <c r="T11" i="20" l="1"/>
  <c r="S11" i="14"/>
  <c r="F11" i="14" s="1"/>
  <c r="I23" i="16"/>
  <c r="E48" i="23"/>
  <c r="D63" i="16"/>
  <c r="B63" i="16" s="1"/>
  <c r="H11" i="14" l="1"/>
  <c r="C64" i="16"/>
  <c r="E64" i="16" s="1"/>
  <c r="D48" i="23"/>
  <c r="G23" i="16"/>
  <c r="F48" i="23" l="1"/>
  <c r="D11" i="21"/>
  <c r="C49" i="23"/>
  <c r="D64" i="16"/>
  <c r="B64" i="16" s="1"/>
  <c r="C65" i="16" l="1"/>
  <c r="E65" i="16" s="1"/>
  <c r="D65" i="16" l="1"/>
  <c r="B65" i="16" s="1"/>
  <c r="C66" i="16" l="1"/>
  <c r="E66" i="16" s="1"/>
  <c r="D66" i="16" l="1"/>
  <c r="B66" i="16" s="1"/>
  <c r="C67" i="16" l="1"/>
  <c r="E67" i="16" s="1"/>
  <c r="D67" i="16" l="1"/>
  <c r="B67" i="16" s="1"/>
  <c r="C68" i="16" l="1"/>
  <c r="E68" i="16" s="1"/>
  <c r="D68" i="16" l="1"/>
  <c r="B68" i="16" s="1"/>
  <c r="C69" i="16" l="1"/>
  <c r="E69" i="16" s="1"/>
  <c r="D69" i="16" l="1"/>
  <c r="B69" i="16" s="1"/>
  <c r="C70" i="16" l="1"/>
  <c r="E70" i="16" s="1"/>
  <c r="D70" i="16" l="1"/>
  <c r="B70" i="16" s="1"/>
  <c r="C71" i="16" l="1"/>
  <c r="E71" i="16" s="1"/>
  <c r="D71" i="16" l="1"/>
  <c r="B71" i="16" s="1"/>
  <c r="C72" i="16" l="1"/>
  <c r="E72" i="16" s="1"/>
  <c r="D72" i="16" l="1"/>
  <c r="B72" i="16" s="1"/>
  <c r="C73" i="16" l="1"/>
  <c r="E73" i="16" s="1"/>
  <c r="D73" i="16" l="1"/>
  <c r="B73" i="16" s="1"/>
  <c r="C74" i="16" l="1"/>
  <c r="E74" i="16" s="1"/>
  <c r="D74" i="16" l="1"/>
  <c r="B74" i="16" s="1"/>
  <c r="C75" i="16" l="1"/>
  <c r="E75" i="16" s="1"/>
  <c r="J24" i="16"/>
  <c r="H24" i="16"/>
  <c r="T12" i="20" l="1"/>
  <c r="S12" i="14"/>
  <c r="F12" i="14" s="1"/>
  <c r="I24" i="16"/>
  <c r="E49" i="23"/>
  <c r="D75" i="16"/>
  <c r="B75" i="16" s="1"/>
  <c r="H12" i="14" l="1"/>
  <c r="C76" i="16"/>
  <c r="E76" i="16" s="1"/>
  <c r="G24" i="16"/>
  <c r="D49" i="23"/>
  <c r="D76" i="16" l="1"/>
  <c r="B76" i="16" s="1"/>
  <c r="D12" i="21"/>
  <c r="F49" i="23"/>
  <c r="C50" i="23"/>
  <c r="C77" i="16" l="1"/>
  <c r="E77" i="16" s="1"/>
  <c r="D77" i="16" l="1"/>
  <c r="B77" i="16" s="1"/>
  <c r="C78" i="16" l="1"/>
  <c r="E78" i="16" s="1"/>
  <c r="D78" i="16" l="1"/>
  <c r="B78" i="16" s="1"/>
  <c r="C79" i="16" l="1"/>
  <c r="E79" i="16" s="1"/>
  <c r="D79" i="16" l="1"/>
  <c r="B79" i="16" s="1"/>
  <c r="C80" i="16" l="1"/>
  <c r="E80" i="16" s="1"/>
  <c r="D80" i="16" l="1"/>
  <c r="B80" i="16" s="1"/>
  <c r="C81" i="16" l="1"/>
  <c r="E81" i="16" s="1"/>
  <c r="D81" i="16" l="1"/>
  <c r="B81" i="16" s="1"/>
  <c r="C82" i="16" l="1"/>
  <c r="E82" i="16" s="1"/>
  <c r="D82" i="16" l="1"/>
  <c r="B82" i="16" s="1"/>
  <c r="C83" i="16" l="1"/>
  <c r="E83" i="16" s="1"/>
  <c r="D83" i="16" l="1"/>
  <c r="B83" i="16" s="1"/>
  <c r="C84" i="16" l="1"/>
  <c r="E84" i="16" s="1"/>
  <c r="D84" i="16" l="1"/>
  <c r="B84" i="16" s="1"/>
  <c r="C85" i="16" l="1"/>
  <c r="E85" i="16" s="1"/>
  <c r="D85" i="16" l="1"/>
  <c r="B85" i="16" s="1"/>
  <c r="C86" i="16" l="1"/>
  <c r="E86" i="16" s="1"/>
  <c r="D86" i="16" l="1"/>
  <c r="B86" i="16" s="1"/>
  <c r="C87" i="16" l="1"/>
  <c r="E87" i="16" s="1"/>
  <c r="J25" i="16"/>
  <c r="H25" i="16"/>
  <c r="T13" i="20" l="1"/>
  <c r="S13" i="14"/>
  <c r="F13" i="14" s="1"/>
  <c r="I25" i="16"/>
  <c r="E50" i="23"/>
  <c r="D87" i="16"/>
  <c r="B87" i="16" s="1"/>
  <c r="H13" i="14" l="1"/>
  <c r="C88" i="16"/>
  <c r="E88" i="16" s="1"/>
  <c r="D50" i="23"/>
  <c r="G25" i="16"/>
  <c r="D88" i="16" l="1"/>
  <c r="B88" i="16" s="1"/>
  <c r="D13" i="21"/>
  <c r="F50" i="23"/>
  <c r="C51" i="23"/>
  <c r="C89" i="16" l="1"/>
  <c r="E89" i="16" s="1"/>
  <c r="D89" i="16" l="1"/>
  <c r="B89" i="16" s="1"/>
  <c r="C90" i="16" l="1"/>
  <c r="E90" i="16" s="1"/>
  <c r="D90" i="16" l="1"/>
  <c r="B90" i="16" s="1"/>
  <c r="C91" i="16" l="1"/>
  <c r="E91" i="16" s="1"/>
  <c r="D91" i="16" l="1"/>
  <c r="B91" i="16" s="1"/>
  <c r="C92" i="16" l="1"/>
  <c r="E92" i="16" s="1"/>
  <c r="D92" i="16" l="1"/>
  <c r="B92" i="16" s="1"/>
  <c r="C93" i="16" l="1"/>
  <c r="E93" i="16" s="1"/>
  <c r="D93" i="16" l="1"/>
  <c r="B93" i="16" s="1"/>
  <c r="C94" i="16" l="1"/>
  <c r="E94" i="16" s="1"/>
  <c r="D94" i="16" l="1"/>
  <c r="B94" i="16" s="1"/>
  <c r="C95" i="16" l="1"/>
  <c r="E95" i="16" s="1"/>
  <c r="D95" i="16" l="1"/>
  <c r="B95" i="16" s="1"/>
  <c r="C96" i="16" l="1"/>
  <c r="E96" i="16" s="1"/>
  <c r="D96" i="16" l="1"/>
  <c r="B96" i="16" s="1"/>
  <c r="C97" i="16" l="1"/>
  <c r="E97" i="16" s="1"/>
  <c r="D97" i="16" l="1"/>
  <c r="B97" i="16" s="1"/>
  <c r="C98" i="16" l="1"/>
  <c r="E98" i="16" s="1"/>
  <c r="D98" i="16" l="1"/>
  <c r="B98" i="16" s="1"/>
  <c r="C99" i="16" l="1"/>
  <c r="E99" i="16" s="1"/>
  <c r="J26" i="16"/>
  <c r="H26" i="16"/>
  <c r="T14" i="20" l="1"/>
  <c r="S14" i="14"/>
  <c r="F14" i="14" s="1"/>
  <c r="I26" i="16"/>
  <c r="E51" i="23"/>
  <c r="D99" i="16"/>
  <c r="B99" i="16" s="1"/>
  <c r="H14" i="14" l="1"/>
  <c r="C100" i="16"/>
  <c r="E100" i="16" s="1"/>
  <c r="G26" i="16"/>
  <c r="D51" i="23"/>
  <c r="C52" i="23" l="1"/>
  <c r="D14" i="21"/>
  <c r="F51" i="23"/>
  <c r="D100" i="16"/>
  <c r="B100" i="16" s="1"/>
  <c r="C101" i="16" l="1"/>
  <c r="E101" i="16" s="1"/>
  <c r="D101" i="16" l="1"/>
  <c r="B101" i="16" s="1"/>
  <c r="C102" i="16" l="1"/>
  <c r="E102" i="16" s="1"/>
  <c r="D102" i="16" l="1"/>
  <c r="B102" i="16" s="1"/>
  <c r="C103" i="16" l="1"/>
  <c r="E103" i="16" s="1"/>
  <c r="D103" i="16" l="1"/>
  <c r="B103" i="16" s="1"/>
  <c r="C104" i="16" l="1"/>
  <c r="E104" i="16" s="1"/>
  <c r="D104" i="16" l="1"/>
  <c r="B104" i="16" s="1"/>
  <c r="C105" i="16" l="1"/>
  <c r="E105" i="16" s="1"/>
  <c r="D105" i="16" l="1"/>
  <c r="B105" i="16" s="1"/>
  <c r="C106" i="16" l="1"/>
  <c r="E106" i="16" s="1"/>
  <c r="D106" i="16" l="1"/>
  <c r="B106" i="16" s="1"/>
  <c r="C107" i="16" l="1"/>
  <c r="E107" i="16" s="1"/>
  <c r="D107" i="16" l="1"/>
  <c r="B107" i="16" s="1"/>
  <c r="C108" i="16" l="1"/>
  <c r="E108" i="16" s="1"/>
  <c r="D108" i="16" l="1"/>
  <c r="B108" i="16" s="1"/>
  <c r="C109" i="16" l="1"/>
  <c r="E109" i="16" s="1"/>
  <c r="D109" i="16" l="1"/>
  <c r="B109" i="16" s="1"/>
  <c r="C110" i="16" l="1"/>
  <c r="E110" i="16" s="1"/>
  <c r="D110" i="16" l="1"/>
  <c r="B110" i="16" s="1"/>
  <c r="C111" i="16" l="1"/>
  <c r="E111" i="16" s="1"/>
  <c r="J27" i="16"/>
  <c r="H27" i="16"/>
  <c r="T15" i="20" l="1"/>
  <c r="S15" i="14"/>
  <c r="F15" i="14" s="1"/>
  <c r="H15" i="14" s="1"/>
  <c r="E52" i="23"/>
  <c r="I27" i="16"/>
  <c r="D111" i="16"/>
  <c r="B111" i="16" s="1"/>
  <c r="C112" i="16" l="1"/>
  <c r="E112" i="16" s="1"/>
  <c r="D52" i="23"/>
  <c r="G27" i="16"/>
  <c r="F52" i="23" l="1"/>
  <c r="D15" i="21"/>
  <c r="C53" i="23"/>
  <c r="D112" i="16"/>
  <c r="B112" i="16" s="1"/>
  <c r="C113" i="16" l="1"/>
  <c r="E113" i="16" s="1"/>
  <c r="D113" i="16" l="1"/>
  <c r="B113" i="16" s="1"/>
  <c r="C114" i="16" l="1"/>
  <c r="E114" i="16" s="1"/>
  <c r="D114" i="16" l="1"/>
  <c r="B114" i="16" s="1"/>
  <c r="C115" i="16" l="1"/>
  <c r="E115" i="16" s="1"/>
  <c r="D115" i="16" l="1"/>
  <c r="B115" i="16" s="1"/>
  <c r="C116" i="16" l="1"/>
  <c r="E116" i="16" s="1"/>
  <c r="D116" i="16" l="1"/>
  <c r="B116" i="16" s="1"/>
  <c r="C117" i="16" l="1"/>
  <c r="E117" i="16" s="1"/>
  <c r="D117" i="16" l="1"/>
  <c r="B117" i="16" s="1"/>
  <c r="C118" i="16" l="1"/>
  <c r="E118" i="16" s="1"/>
  <c r="D118" i="16" l="1"/>
  <c r="B118" i="16" s="1"/>
  <c r="C119" i="16" l="1"/>
  <c r="E119" i="16" s="1"/>
  <c r="D119" i="16" l="1"/>
  <c r="B119" i="16" s="1"/>
  <c r="C120" i="16" l="1"/>
  <c r="E120" i="16" s="1"/>
  <c r="D120" i="16" l="1"/>
  <c r="B120" i="16" s="1"/>
  <c r="C121" i="16" l="1"/>
  <c r="E121" i="16" s="1"/>
  <c r="D121" i="16" l="1"/>
  <c r="B121" i="16" s="1"/>
  <c r="C122" i="16" l="1"/>
  <c r="E122" i="16" s="1"/>
  <c r="D122" i="16" l="1"/>
  <c r="B122" i="16" s="1"/>
  <c r="C123" i="16" l="1"/>
  <c r="E123" i="16" s="1"/>
  <c r="J28" i="16"/>
  <c r="H28" i="16"/>
  <c r="T16" i="20" l="1"/>
  <c r="S16" i="14"/>
  <c r="F16" i="14" s="1"/>
  <c r="H16" i="14" s="1"/>
  <c r="E53" i="23"/>
  <c r="I28" i="16"/>
  <c r="D123" i="16"/>
  <c r="B123" i="16" s="1"/>
  <c r="D53" i="23" l="1"/>
  <c r="G28" i="16"/>
  <c r="C124" i="16"/>
  <c r="E124" i="16" s="1"/>
  <c r="D124" i="16" l="1"/>
  <c r="B124" i="16" s="1"/>
  <c r="D16" i="21"/>
  <c r="C54" i="23"/>
  <c r="F53" i="23"/>
  <c r="C125" i="16" l="1"/>
  <c r="E125" i="16" s="1"/>
  <c r="D125" i="16" l="1"/>
  <c r="B125" i="16" s="1"/>
  <c r="C126" i="16" l="1"/>
  <c r="E126" i="16" s="1"/>
  <c r="D126" i="16" l="1"/>
  <c r="B126" i="16" s="1"/>
  <c r="C127" i="16" l="1"/>
  <c r="E127" i="16" s="1"/>
  <c r="D127" i="16" l="1"/>
  <c r="B127" i="16" s="1"/>
  <c r="C128" i="16" l="1"/>
  <c r="E128" i="16" s="1"/>
  <c r="D128" i="16" l="1"/>
  <c r="B128" i="16" s="1"/>
  <c r="C129" i="16" l="1"/>
  <c r="E129" i="16" s="1"/>
  <c r="D129" i="16" l="1"/>
  <c r="B129" i="16" s="1"/>
  <c r="C130" i="16" l="1"/>
  <c r="E130" i="16" s="1"/>
  <c r="D130" i="16" l="1"/>
  <c r="B130" i="16" s="1"/>
  <c r="C131" i="16" l="1"/>
  <c r="E131" i="16" s="1"/>
  <c r="D131" i="16" l="1"/>
  <c r="B131" i="16" s="1"/>
  <c r="C132" i="16" l="1"/>
  <c r="E132" i="16" s="1"/>
  <c r="D132" i="16" l="1"/>
  <c r="B132" i="16" s="1"/>
  <c r="C133" i="16" l="1"/>
  <c r="E133" i="16" s="1"/>
  <c r="D133" i="16" l="1"/>
  <c r="B133" i="16" s="1"/>
  <c r="C134" i="16" l="1"/>
  <c r="E134" i="16" s="1"/>
  <c r="D134" i="16" l="1"/>
  <c r="B134" i="16" s="1"/>
  <c r="C135" i="16" l="1"/>
  <c r="E135" i="16" s="1"/>
  <c r="J29" i="16"/>
  <c r="H29" i="16"/>
  <c r="T17" i="20" l="1"/>
  <c r="S17" i="14"/>
  <c r="F17" i="14" s="1"/>
  <c r="H17" i="14" s="1"/>
  <c r="E54" i="23"/>
  <c r="I29" i="16"/>
  <c r="D135" i="16"/>
  <c r="B135" i="16" s="1"/>
  <c r="D54" i="23" l="1"/>
  <c r="G29" i="16"/>
  <c r="C136" i="16"/>
  <c r="E136" i="16" s="1"/>
  <c r="D136" i="16" l="1"/>
  <c r="B136" i="16" s="1"/>
  <c r="C55" i="23"/>
  <c r="F54" i="23"/>
  <c r="D17" i="21"/>
  <c r="C137" i="16" l="1"/>
  <c r="E137" i="16" s="1"/>
  <c r="D137" i="16" l="1"/>
  <c r="B137" i="16" s="1"/>
  <c r="C138" i="16" l="1"/>
  <c r="E138" i="16" s="1"/>
  <c r="D138" i="16" l="1"/>
  <c r="B138" i="16" s="1"/>
  <c r="C139" i="16" l="1"/>
  <c r="E139" i="16" s="1"/>
  <c r="J30" i="16"/>
  <c r="H30" i="16"/>
  <c r="T18" i="20" l="1"/>
  <c r="T40" i="20" s="1"/>
  <c r="J51" i="16"/>
  <c r="S18" i="14"/>
  <c r="E55" i="23"/>
  <c r="E77" i="23" s="1"/>
  <c r="I30" i="16"/>
  <c r="H51" i="16"/>
  <c r="D139" i="16"/>
  <c r="B139" i="16" s="1"/>
  <c r="S40" i="14" l="1"/>
  <c r="F18" i="14"/>
  <c r="D55" i="23"/>
  <c r="D77" i="23" s="1"/>
  <c r="I51" i="16"/>
  <c r="G30" i="16"/>
  <c r="H18" i="14" l="1"/>
  <c r="H40" i="14" s="1"/>
  <c r="F40" i="14"/>
  <c r="C56" i="23"/>
  <c r="D18" i="21"/>
  <c r="F55" i="23"/>
  <c r="G31" i="16"/>
  <c r="C57" i="23" l="1"/>
  <c r="D19" i="21"/>
  <c r="G32" i="16"/>
  <c r="F56" i="23"/>
  <c r="D20" i="21" l="1"/>
  <c r="G33" i="16"/>
  <c r="F57" i="23"/>
  <c r="C58" i="23"/>
  <c r="F58" i="23" l="1"/>
  <c r="C59" i="23"/>
  <c r="D21" i="21"/>
  <c r="G34" i="16"/>
  <c r="C60" i="23" l="1"/>
  <c r="G35" i="16"/>
  <c r="F59" i="23"/>
  <c r="D22" i="21"/>
  <c r="D23" i="21" l="1"/>
  <c r="G36" i="16"/>
  <c r="F60" i="23"/>
  <c r="C61" i="23"/>
  <c r="G37" i="16" l="1"/>
  <c r="D24" i="21"/>
  <c r="F61" i="23"/>
  <c r="C62" i="23"/>
  <c r="F62" i="23" l="1"/>
  <c r="C63" i="23"/>
  <c r="D25" i="21"/>
  <c r="G38" i="16"/>
  <c r="C64" i="23" l="1"/>
  <c r="G39" i="16"/>
  <c r="D26" i="21"/>
  <c r="F63" i="23"/>
  <c r="C65" i="23" l="1"/>
  <c r="F64" i="23"/>
  <c r="G40" i="16"/>
  <c r="D27" i="21"/>
  <c r="G41" i="16" l="1"/>
  <c r="D28" i="21"/>
  <c r="C66" i="23"/>
  <c r="F65" i="23"/>
  <c r="C67" i="23" l="1"/>
  <c r="F66" i="23"/>
  <c r="D29" i="21"/>
  <c r="G42" i="16"/>
  <c r="C68" i="23" l="1"/>
  <c r="D30" i="21"/>
  <c r="G43" i="16"/>
  <c r="F67" i="23"/>
  <c r="C69" i="23" l="1"/>
  <c r="G44" i="16"/>
  <c r="D31" i="21"/>
  <c r="F68" i="23"/>
  <c r="G45" i="16" l="1"/>
  <c r="C70" i="23"/>
  <c r="F69" i="23"/>
  <c r="D32" i="21"/>
  <c r="D33" i="21" l="1"/>
  <c r="F70" i="23"/>
  <c r="C71" i="23"/>
  <c r="G46" i="16"/>
  <c r="C72" i="23" l="1"/>
  <c r="D34" i="21"/>
  <c r="F71" i="23"/>
  <c r="G47" i="16"/>
  <c r="C73" i="23" l="1"/>
  <c r="D35" i="21"/>
  <c r="F72" i="23"/>
  <c r="G48" i="16"/>
  <c r="D36" i="21" l="1"/>
  <c r="G49" i="16"/>
  <c r="C74" i="23"/>
  <c r="F73" i="23"/>
  <c r="D37" i="21" l="1"/>
  <c r="F74" i="23"/>
  <c r="C75" i="23"/>
  <c r="AQ38" i="14"/>
  <c r="AO40" i="14"/>
  <c r="W27" i="20" l="1"/>
  <c r="AM27" i="14"/>
  <c r="Y27" i="14"/>
  <c r="Z27" i="14"/>
  <c r="M29" i="22"/>
  <c r="O28" i="22"/>
  <c r="AL32" i="14"/>
  <c r="AJ32" i="14"/>
  <c r="L24" i="21"/>
  <c r="J24" i="21"/>
  <c r="Q22" i="22"/>
  <c r="S21" i="22"/>
  <c r="W31" i="20"/>
  <c r="AM31" i="14"/>
  <c r="Y31" i="14"/>
  <c r="Z31" i="14"/>
  <c r="L18" i="21"/>
  <c r="J18" i="21"/>
  <c r="AB15" i="14"/>
  <c r="AG15" i="14"/>
  <c r="AE15" i="14"/>
  <c r="Z32" i="20"/>
  <c r="Q15" i="22"/>
  <c r="S14" i="22"/>
  <c r="AB40" i="14"/>
  <c r="AB7" i="14"/>
  <c r="AB14" i="14"/>
  <c r="AG14" i="14"/>
  <c r="AE14" i="14"/>
  <c r="AL17" i="14"/>
  <c r="AJ17" i="14"/>
  <c r="M15" i="22"/>
  <c r="O14" i="22"/>
  <c r="M31" i="22"/>
  <c r="O30" i="22"/>
  <c r="AF40" i="14"/>
  <c r="AE13" i="14"/>
  <c r="AG13" i="14"/>
  <c r="AB13" i="14"/>
  <c r="Z40" i="14"/>
  <c r="V14" i="22"/>
  <c r="Q21" i="22"/>
  <c r="S20" i="22"/>
  <c r="L17" i="21"/>
  <c r="J17" i="21"/>
  <c r="AB28" i="14"/>
  <c r="AG28" i="14"/>
  <c r="AE28" i="14"/>
  <c r="L21" i="21"/>
  <c r="J21" i="21"/>
  <c r="Q36" i="22"/>
  <c r="S35" i="22"/>
  <c r="AB36" i="14"/>
  <c r="AG36" i="14"/>
  <c r="AE36" i="14"/>
  <c r="Q12" i="22"/>
  <c r="S11" i="22"/>
  <c r="P29" i="21"/>
  <c r="N29" i="21"/>
  <c r="AB26" i="14"/>
  <c r="AG26" i="14"/>
  <c r="AE26" i="14"/>
  <c r="X13" i="20"/>
  <c r="AY13" i="14"/>
  <c r="AL30" i="14"/>
  <c r="AJ30" i="14"/>
  <c r="P20" i="21"/>
  <c r="N20" i="21"/>
  <c r="Q31" i="21"/>
  <c r="O31" i="21"/>
  <c r="M13" i="22"/>
  <c r="O12" i="22"/>
  <c r="AL24" i="14"/>
  <c r="AJ24" i="14"/>
  <c r="P33" i="21"/>
  <c r="N33" i="21"/>
  <c r="X12" i="20"/>
  <c r="AY12" i="14"/>
  <c r="W36" i="20"/>
  <c r="AM36" i="14"/>
  <c r="Y36" i="14"/>
  <c r="Z36" i="14"/>
  <c r="Y32" i="20"/>
  <c r="J32" i="21"/>
  <c r="L32" i="21"/>
  <c r="AB8" i="14"/>
  <c r="AG8" i="14"/>
  <c r="Y18" i="20"/>
  <c r="Z18" i="20"/>
  <c r="Q33" i="22"/>
  <c r="S32" i="22"/>
  <c r="V11" i="22"/>
  <c r="W25" i="20"/>
  <c r="AM25" i="14"/>
  <c r="Y25" i="14"/>
  <c r="Z25" i="14"/>
  <c r="Y24" i="20"/>
  <c r="Z24" i="20"/>
  <c r="Y21" i="20"/>
  <c r="Z21" i="20"/>
  <c r="L12" i="21"/>
  <c r="J12" i="21"/>
  <c r="M30" i="21"/>
  <c r="H30" i="21"/>
  <c r="Q16" i="22"/>
  <c r="S15" i="22"/>
  <c r="M17" i="22"/>
  <c r="O16" i="22"/>
  <c r="G17" i="21"/>
  <c r="Q28" i="21"/>
  <c r="O28" i="21"/>
  <c r="Z34" i="20"/>
  <c r="I29" i="21"/>
  <c r="K29" i="21"/>
  <c r="AA25" i="14"/>
  <c r="M29" i="21"/>
  <c r="H29" i="21"/>
  <c r="AR25" i="14"/>
  <c r="AS25" i="14"/>
  <c r="B17" i="21"/>
  <c r="H17" i="21"/>
  <c r="M17" i="21"/>
  <c r="W38" i="20"/>
  <c r="AM38" i="14"/>
  <c r="Y38" i="14"/>
  <c r="Z38" i="14"/>
  <c r="W35" i="20"/>
  <c r="AM35" i="14"/>
  <c r="Y35" i="14"/>
  <c r="Z35" i="14"/>
  <c r="AJ25" i="14"/>
  <c r="AL25" i="14"/>
  <c r="M16" i="21"/>
  <c r="H16" i="21"/>
  <c r="X19" i="20"/>
  <c r="AY19" i="14"/>
  <c r="Q20" i="21"/>
  <c r="O20" i="21"/>
  <c r="Q37" i="21"/>
  <c r="O37" i="21"/>
  <c r="AL26" i="14"/>
  <c r="AJ26" i="14"/>
  <c r="V29" i="22"/>
  <c r="AA40" i="14"/>
  <c r="AA7" i="14"/>
  <c r="M21" i="21"/>
  <c r="H21" i="21"/>
  <c r="M18" i="22"/>
  <c r="O17" i="22"/>
  <c r="W9" i="20"/>
  <c r="AM9" i="14"/>
  <c r="Y9" i="14"/>
  <c r="Z9" i="14"/>
  <c r="AE38" i="14"/>
  <c r="AG38" i="14"/>
  <c r="AB38" i="14"/>
  <c r="AE8" i="14"/>
  <c r="AE40" i="14"/>
  <c r="Q27" i="21"/>
  <c r="O27" i="21"/>
  <c r="U18" i="20"/>
  <c r="V18" i="20"/>
  <c r="V18" i="22"/>
  <c r="X38" i="20"/>
  <c r="AY38" i="14"/>
  <c r="Q9" i="22"/>
  <c r="E23" i="21"/>
  <c r="F23" i="21"/>
  <c r="Z20" i="20"/>
  <c r="Y20" i="20"/>
  <c r="J20" i="21"/>
  <c r="L20" i="21"/>
  <c r="W34" i="20"/>
  <c r="Z34" i="14"/>
  <c r="Y34" i="14"/>
  <c r="AM34" i="14"/>
  <c r="M20" i="21"/>
  <c r="H20" i="21"/>
  <c r="AL21" i="14"/>
  <c r="AJ21" i="14"/>
  <c r="G26" i="22"/>
  <c r="V8" i="22"/>
  <c r="G24" i="22"/>
  <c r="L9" i="21"/>
  <c r="J9" i="21"/>
  <c r="X9" i="20"/>
  <c r="AY9" i="14"/>
  <c r="W19" i="20"/>
  <c r="Z19" i="14"/>
  <c r="Y19" i="14"/>
  <c r="AM19" i="14"/>
  <c r="E20" i="21"/>
  <c r="F20" i="21"/>
  <c r="P18" i="21"/>
  <c r="N18" i="21"/>
  <c r="Y34" i="20"/>
  <c r="J34" i="21"/>
  <c r="L34" i="21"/>
  <c r="Y17" i="20"/>
  <c r="Z17" i="20"/>
  <c r="B29" i="21"/>
  <c r="G29" i="21"/>
  <c r="Y12" i="20"/>
  <c r="Z12" i="20"/>
  <c r="U21" i="20"/>
  <c r="V21" i="20"/>
  <c r="V21" i="22"/>
  <c r="Q35" i="22"/>
  <c r="S34" i="22"/>
  <c r="M21" i="22"/>
  <c r="O20" i="22"/>
  <c r="W13" i="20"/>
  <c r="Z13" i="14"/>
  <c r="Y13" i="14"/>
  <c r="AM13" i="14"/>
  <c r="M9" i="22"/>
  <c r="K22" i="21"/>
  <c r="Z22" i="14"/>
  <c r="Y22" i="14"/>
  <c r="AM22" i="14"/>
  <c r="W22" i="20"/>
  <c r="AL28" i="14"/>
  <c r="AJ28" i="14"/>
  <c r="AS13" i="14"/>
  <c r="AR13" i="14"/>
  <c r="Q25" i="22"/>
  <c r="S24" i="22"/>
  <c r="B16" i="21"/>
  <c r="G16" i="21"/>
  <c r="G12" i="21"/>
  <c r="AT40" i="14"/>
  <c r="Q27" i="22"/>
  <c r="S26" i="22"/>
  <c r="M36" i="22"/>
  <c r="O35" i="22"/>
  <c r="L15" i="21"/>
  <c r="J15" i="21"/>
  <c r="M13" i="21"/>
  <c r="H13" i="21"/>
  <c r="W28" i="20"/>
  <c r="AM28" i="14"/>
  <c r="Y28" i="14"/>
  <c r="Z28" i="14"/>
  <c r="I33" i="21"/>
  <c r="K33" i="21"/>
  <c r="AF38" i="14"/>
  <c r="AS38" i="14"/>
  <c r="AT38" i="14"/>
  <c r="AV38" i="14"/>
  <c r="AW38" i="14"/>
  <c r="AK38" i="14"/>
  <c r="AR37" i="14"/>
  <c r="AR38" i="14"/>
  <c r="AE29" i="14"/>
  <c r="AG29" i="14"/>
  <c r="AB29" i="14"/>
  <c r="Z17" i="14"/>
  <c r="Y17" i="14"/>
  <c r="AM17" i="14"/>
  <c r="W17" i="20"/>
  <c r="G8" i="21"/>
  <c r="L8" i="21"/>
  <c r="J8" i="21"/>
  <c r="G8" i="22"/>
  <c r="O8" i="22"/>
  <c r="M8" i="22"/>
  <c r="G9" i="22"/>
  <c r="AR35" i="14"/>
  <c r="AS35" i="14"/>
  <c r="U20" i="20"/>
  <c r="V20" i="20"/>
  <c r="V20" i="22"/>
  <c r="M38" i="22"/>
  <c r="O37" i="22"/>
  <c r="B20" i="21"/>
  <c r="G20" i="21"/>
  <c r="X24" i="20"/>
  <c r="AY24" i="14"/>
  <c r="AS24" i="14"/>
  <c r="AR24" i="14"/>
  <c r="AF7" i="14"/>
  <c r="AG7" i="14"/>
  <c r="AG40" i="14"/>
  <c r="B8" i="21"/>
  <c r="H8" i="21"/>
  <c r="M8" i="21"/>
  <c r="V22" i="22"/>
  <c r="G19" i="22"/>
  <c r="S8" i="22"/>
  <c r="Q8" i="22"/>
  <c r="G20" i="22"/>
  <c r="Q23" i="22"/>
  <c r="S22" i="22"/>
  <c r="AQ40" i="14"/>
  <c r="AR7" i="14"/>
  <c r="Y9" i="20"/>
  <c r="Z9" i="20"/>
  <c r="U32" i="20"/>
  <c r="V32" i="20"/>
  <c r="V32" i="22"/>
  <c r="X11" i="20"/>
  <c r="AY11" i="14"/>
  <c r="AR11" i="14"/>
  <c r="AS11" i="14"/>
  <c r="X25" i="14"/>
  <c r="AE25" i="14"/>
  <c r="AG25" i="14"/>
  <c r="AB25" i="14"/>
  <c r="O34" i="21"/>
  <c r="Q34" i="21"/>
  <c r="Q23" i="21"/>
  <c r="O23" i="21"/>
  <c r="AL11" i="14"/>
  <c r="AJ11" i="14"/>
  <c r="AK13" i="14"/>
  <c r="AP13" i="14"/>
  <c r="AQ13" i="14"/>
  <c r="AT13" i="14"/>
  <c r="AV13" i="14"/>
  <c r="AW13" i="14"/>
  <c r="AF13" i="14"/>
  <c r="X37" i="20"/>
  <c r="AY37" i="14"/>
  <c r="AS37" i="14"/>
  <c r="I22" i="21"/>
  <c r="N22" i="21"/>
  <c r="P22" i="21"/>
  <c r="Q38" i="22"/>
  <c r="S37" i="22"/>
  <c r="Q20" i="22"/>
  <c r="S19" i="22"/>
  <c r="AK11" i="14"/>
  <c r="AP11" i="14"/>
  <c r="AQ11" i="14"/>
  <c r="AT11" i="14"/>
  <c r="AV11" i="14"/>
  <c r="AW11" i="14"/>
  <c r="AF11" i="14"/>
  <c r="M27" i="22"/>
  <c r="O26" i="22"/>
  <c r="F8" i="21"/>
  <c r="E8" i="21"/>
  <c r="I20" i="21"/>
  <c r="K20" i="21"/>
  <c r="B12" i="21"/>
  <c r="H12" i="21"/>
  <c r="M12" i="21"/>
  <c r="AK19" i="14"/>
  <c r="AT19" i="14"/>
  <c r="AV19" i="14"/>
  <c r="AW19" i="14"/>
  <c r="AF19" i="14"/>
  <c r="AK37" i="14"/>
  <c r="AP37" i="14"/>
  <c r="AQ37" i="14"/>
  <c r="AT37" i="14"/>
  <c r="AV37" i="14"/>
  <c r="AW37" i="14"/>
  <c r="AF37" i="14"/>
  <c r="X15" i="20"/>
  <c r="AY15" i="14"/>
  <c r="L29" i="21"/>
  <c r="J29" i="21"/>
  <c r="Z16" i="20"/>
  <c r="M23" i="21"/>
  <c r="H23" i="21"/>
  <c r="M34" i="22"/>
  <c r="O33" i="22"/>
  <c r="AL37" i="14"/>
  <c r="AJ37" i="14"/>
  <c r="G26" i="21"/>
  <c r="AB10" i="14"/>
  <c r="AG10" i="14"/>
  <c r="AE10" i="14"/>
  <c r="AB12" i="14"/>
  <c r="AG12" i="14"/>
  <c r="AE12" i="14"/>
  <c r="P31" i="21"/>
  <c r="N31" i="21"/>
  <c r="M25" i="22"/>
  <c r="O24" i="22"/>
  <c r="M37" i="21"/>
  <c r="H37" i="21"/>
  <c r="Q34" i="22"/>
  <c r="S33" i="22"/>
  <c r="X36" i="20"/>
  <c r="AY36" i="14"/>
  <c r="L38" i="21"/>
  <c r="J38" i="21"/>
  <c r="M33" i="22"/>
  <c r="O32" i="22"/>
  <c r="V10" i="22"/>
  <c r="G28" i="21"/>
  <c r="M24" i="21"/>
  <c r="H24" i="21"/>
  <c r="M9" i="21"/>
  <c r="H9" i="21"/>
  <c r="Q13" i="21"/>
  <c r="O13" i="21"/>
  <c r="X33" i="20"/>
  <c r="AY33" i="14"/>
  <c r="Q14" i="22"/>
  <c r="S13" i="22"/>
  <c r="AB24" i="14"/>
  <c r="AG24" i="14"/>
  <c r="AE24" i="14"/>
  <c r="E22" i="21"/>
  <c r="F22" i="21"/>
  <c r="Q24" i="22"/>
  <c r="S23" i="22"/>
  <c r="B13" i="21"/>
  <c r="G13" i="21"/>
  <c r="AF12" i="14"/>
  <c r="AT12" i="14"/>
  <c r="AV12" i="14"/>
  <c r="AW12" i="14"/>
  <c r="AK12" i="14"/>
  <c r="AS9" i="14"/>
  <c r="AR9" i="14"/>
  <c r="L25" i="21"/>
  <c r="J25" i="21"/>
  <c r="U28" i="14"/>
  <c r="X28" i="14"/>
  <c r="AA28" i="14"/>
  <c r="K17" i="21"/>
  <c r="U34" i="20"/>
  <c r="V34" i="20"/>
  <c r="V34" i="22"/>
  <c r="AB21" i="14"/>
  <c r="AG21" i="14"/>
  <c r="AE21" i="14"/>
  <c r="Z27" i="20"/>
  <c r="AA15" i="14"/>
  <c r="AS32" i="14"/>
  <c r="AR32" i="14"/>
  <c r="Y16" i="20"/>
  <c r="J16" i="21"/>
  <c r="L16" i="21"/>
  <c r="X27" i="20"/>
  <c r="AY27" i="14"/>
  <c r="AS27" i="14"/>
  <c r="AR27" i="14"/>
  <c r="T40" i="14"/>
  <c r="B26" i="21"/>
  <c r="H26" i="21"/>
  <c r="M26" i="21"/>
  <c r="G15" i="21"/>
  <c r="AJ15" i="14"/>
  <c r="AL15" i="14"/>
  <c r="I17" i="21"/>
  <c r="N17" i="21"/>
  <c r="P17" i="21"/>
  <c r="AA13" i="14"/>
  <c r="AL9" i="14"/>
  <c r="AJ9" i="14"/>
  <c r="AF15" i="14"/>
  <c r="AT15" i="14"/>
  <c r="AV15" i="14"/>
  <c r="AW15" i="14"/>
  <c r="AK15" i="14"/>
  <c r="AE20" i="14"/>
  <c r="AG20" i="14"/>
  <c r="AB20" i="14"/>
  <c r="AY40" i="14"/>
  <c r="Q36" i="21"/>
  <c r="O36" i="21"/>
  <c r="AA26" i="14"/>
  <c r="AK8" i="14"/>
  <c r="AF8" i="14"/>
  <c r="G27" i="21"/>
  <c r="AB35" i="14"/>
  <c r="AG35" i="14"/>
  <c r="AE35" i="14"/>
  <c r="E28" i="21"/>
  <c r="F28" i="21"/>
  <c r="P38" i="21"/>
  <c r="N38" i="21"/>
  <c r="B28" i="21"/>
  <c r="H28" i="21"/>
  <c r="M28" i="21"/>
  <c r="M11" i="21"/>
  <c r="H11" i="21"/>
  <c r="P37" i="21"/>
  <c r="N37" i="21"/>
  <c r="P19" i="21"/>
  <c r="N19" i="21"/>
  <c r="M22" i="22"/>
  <c r="O21" i="22"/>
  <c r="U9" i="20"/>
  <c r="V9" i="20"/>
  <c r="V9" i="22"/>
  <c r="Q33" i="21"/>
  <c r="O33" i="21"/>
  <c r="W29" i="20"/>
  <c r="AM29" i="14"/>
  <c r="Y29" i="14"/>
  <c r="Z29" i="14"/>
  <c r="Y25" i="20"/>
  <c r="Z25" i="20"/>
  <c r="F17" i="21"/>
  <c r="E17" i="21"/>
  <c r="W40" i="20"/>
  <c r="Y15" i="20"/>
  <c r="Z15" i="20"/>
  <c r="AS23" i="14"/>
  <c r="AR23" i="14"/>
  <c r="O15" i="21"/>
  <c r="Q15" i="21"/>
  <c r="Y27" i="20"/>
  <c r="J27" i="21"/>
  <c r="L27" i="21"/>
  <c r="W15" i="20"/>
  <c r="U15" i="14"/>
  <c r="X15" i="14"/>
  <c r="Z15" i="14"/>
  <c r="Y15" i="14"/>
  <c r="AM15" i="14"/>
  <c r="B30" i="21"/>
  <c r="G30" i="21"/>
  <c r="X18" i="20"/>
  <c r="AY18" i="14"/>
  <c r="U12" i="20"/>
  <c r="V12" i="20"/>
  <c r="V12" i="22"/>
  <c r="K9" i="21"/>
  <c r="AK35" i="14"/>
  <c r="AF35" i="14"/>
  <c r="B15" i="21"/>
  <c r="H15" i="21"/>
  <c r="M15" i="21"/>
  <c r="AL29" i="14"/>
  <c r="AJ29" i="14"/>
  <c r="M30" i="22"/>
  <c r="O29" i="22"/>
  <c r="U13" i="14"/>
  <c r="X13" i="14"/>
  <c r="AJ13" i="14"/>
  <c r="AL13" i="14"/>
  <c r="AF21" i="14"/>
  <c r="AK21" i="14"/>
  <c r="Z22" i="20"/>
  <c r="U27" i="20"/>
  <c r="V27" i="20"/>
  <c r="V27" i="22"/>
  <c r="AL34" i="14"/>
  <c r="AJ34" i="14"/>
  <c r="AY7" i="14"/>
  <c r="X7" i="20"/>
  <c r="X40" i="20"/>
  <c r="W26" i="20"/>
  <c r="X26" i="14"/>
  <c r="Z26" i="14"/>
  <c r="Y26" i="14"/>
  <c r="AM26" i="14"/>
  <c r="AT8" i="14"/>
  <c r="AV8" i="14"/>
  <c r="AW8" i="14"/>
  <c r="AY8" i="14"/>
  <c r="X8" i="20"/>
  <c r="B27" i="21"/>
  <c r="H27" i="21"/>
  <c r="M27" i="21"/>
  <c r="X30" i="20"/>
  <c r="AY30" i="14"/>
  <c r="W14" i="20"/>
  <c r="AM14" i="14"/>
  <c r="Y14" i="14"/>
  <c r="Z14" i="14"/>
  <c r="G13" i="22"/>
  <c r="Z40" i="20"/>
  <c r="Z7" i="20"/>
  <c r="W18" i="20"/>
  <c r="AM18" i="14"/>
  <c r="Y18" i="14"/>
  <c r="Z18" i="14"/>
  <c r="AK16" i="14"/>
  <c r="AF16" i="14"/>
  <c r="M14" i="22"/>
  <c r="O13" i="22"/>
  <c r="Q10" i="21"/>
  <c r="O10" i="21"/>
  <c r="AS12" i="14"/>
  <c r="T13" i="14"/>
  <c r="AP12" i="14"/>
  <c r="AQ12" i="14"/>
  <c r="AR12" i="14"/>
  <c r="AR15" i="14"/>
  <c r="AP15" i="14"/>
  <c r="AQ15" i="14"/>
  <c r="AS15" i="14"/>
  <c r="X14" i="20"/>
  <c r="AY14" i="14"/>
  <c r="AR14" i="14"/>
  <c r="AS14" i="14"/>
  <c r="AK24" i="14"/>
  <c r="AP24" i="14"/>
  <c r="AQ24" i="14"/>
  <c r="AT24" i="14"/>
  <c r="AV24" i="14"/>
  <c r="AW24" i="14"/>
  <c r="AF24" i="14"/>
  <c r="U25" i="20"/>
  <c r="V25" i="20"/>
  <c r="V25" i="22"/>
  <c r="AS22" i="14"/>
  <c r="AR22" i="14"/>
  <c r="AR19" i="14"/>
  <c r="AP19" i="14"/>
  <c r="AQ19" i="14"/>
  <c r="AS19" i="14"/>
  <c r="AF18" i="14"/>
  <c r="AT18" i="14"/>
  <c r="AV18" i="14"/>
  <c r="AW18" i="14"/>
  <c r="AK18" i="14"/>
  <c r="B21" i="21"/>
  <c r="G21" i="21"/>
  <c r="AR33" i="14"/>
  <c r="AS33" i="14"/>
  <c r="U29" i="20"/>
  <c r="V29" i="20"/>
  <c r="Y29" i="20"/>
  <c r="Z29" i="20"/>
  <c r="AJ40" i="14"/>
  <c r="AJ8" i="14"/>
  <c r="AL8" i="14"/>
  <c r="AS36" i="14"/>
  <c r="AR36" i="14"/>
  <c r="M23" i="22"/>
  <c r="O22" i="22"/>
  <c r="B23" i="21"/>
  <c r="G23" i="21"/>
  <c r="AS18" i="14"/>
  <c r="AP18" i="14"/>
  <c r="AQ18" i="14"/>
  <c r="AR18" i="14"/>
  <c r="O35" i="21"/>
  <c r="Q35" i="21"/>
  <c r="I9" i="21"/>
  <c r="N9" i="21"/>
  <c r="P9" i="21"/>
  <c r="AP35" i="14"/>
  <c r="AQ35" i="14"/>
  <c r="AT35" i="14"/>
  <c r="AV35" i="14"/>
  <c r="AW35" i="14"/>
  <c r="AY35" i="14"/>
  <c r="X35" i="20"/>
  <c r="V40" i="20"/>
  <c r="Z32" i="14"/>
  <c r="Y32" i="14"/>
  <c r="AM32" i="14"/>
  <c r="W32" i="20"/>
  <c r="M10" i="22"/>
  <c r="O9" i="22"/>
  <c r="I31" i="21"/>
  <c r="K31" i="21"/>
  <c r="B37" i="21"/>
  <c r="G37" i="21"/>
  <c r="AE19" i="14"/>
  <c r="AG19" i="14"/>
  <c r="AB19" i="14"/>
  <c r="AT21" i="14"/>
  <c r="AV21" i="14"/>
  <c r="AW21" i="14"/>
  <c r="AY21" i="14"/>
  <c r="X21" i="20"/>
  <c r="Z20" i="14"/>
  <c r="Y20" i="14"/>
  <c r="AM20" i="14"/>
  <c r="W20" i="20"/>
  <c r="U22" i="20"/>
  <c r="V22" i="20"/>
  <c r="Y22" i="20"/>
  <c r="J22" i="21"/>
  <c r="L22" i="21"/>
  <c r="AF14" i="14"/>
  <c r="T15" i="14"/>
  <c r="AP14" i="14"/>
  <c r="AQ14" i="14"/>
  <c r="AT14" i="14"/>
  <c r="AV14" i="14"/>
  <c r="AW14" i="14"/>
  <c r="AK14" i="14"/>
  <c r="AK36" i="14"/>
  <c r="AP36" i="14"/>
  <c r="AQ36" i="14"/>
  <c r="AT36" i="14"/>
  <c r="AV36" i="14"/>
  <c r="AW36" i="14"/>
  <c r="AF36" i="14"/>
  <c r="AF27" i="14"/>
  <c r="T28" i="14"/>
  <c r="AP27" i="14"/>
  <c r="AQ27" i="14"/>
  <c r="AT27" i="14"/>
  <c r="AV27" i="14"/>
  <c r="AW27" i="14"/>
  <c r="AK27" i="14"/>
  <c r="AR8" i="14"/>
  <c r="AP8" i="14"/>
  <c r="AQ8" i="14"/>
  <c r="AS8" i="14"/>
  <c r="E25" i="21"/>
  <c r="F25" i="21"/>
  <c r="X29" i="20"/>
  <c r="AY29" i="14"/>
  <c r="AR29" i="14"/>
  <c r="AS29" i="14"/>
  <c r="Z33" i="14"/>
  <c r="Y33" i="14"/>
  <c r="AM33" i="14"/>
  <c r="W33" i="20"/>
  <c r="AR20" i="14"/>
  <c r="AS20" i="14"/>
  <c r="AR30" i="14"/>
  <c r="AS30" i="14"/>
  <c r="P10" i="21"/>
  <c r="N10" i="21"/>
  <c r="X22" i="20"/>
  <c r="AY22" i="14"/>
  <c r="M32" i="22"/>
  <c r="O31" i="22"/>
  <c r="P13" i="21"/>
  <c r="N13" i="21"/>
  <c r="P24" i="21"/>
  <c r="N24" i="21"/>
  <c r="M36" i="21"/>
  <c r="H36" i="21"/>
  <c r="F31" i="21"/>
  <c r="E31" i="21"/>
  <c r="Q18" i="22"/>
  <c r="S17" i="22"/>
  <c r="X28" i="20"/>
  <c r="AY28" i="14"/>
  <c r="V35" i="22"/>
  <c r="W11" i="20"/>
  <c r="AM11" i="14"/>
  <c r="Y11" i="14"/>
  <c r="Z11" i="14"/>
  <c r="Z14" i="20"/>
  <c r="I18" i="21"/>
  <c r="K18" i="21"/>
  <c r="Z11" i="20"/>
  <c r="U16" i="20"/>
  <c r="V16" i="20"/>
  <c r="V16" i="22"/>
  <c r="AE34" i="14"/>
  <c r="AG34" i="14"/>
  <c r="AB34" i="14"/>
  <c r="P11" i="21"/>
  <c r="N11" i="21"/>
  <c r="M34" i="21"/>
  <c r="H34" i="21"/>
  <c r="P16" i="21"/>
  <c r="N16" i="21"/>
  <c r="B9" i="21"/>
  <c r="G9" i="21"/>
  <c r="V36" i="22"/>
  <c r="Q29" i="21"/>
  <c r="O29" i="21"/>
  <c r="U40" i="14"/>
  <c r="AA38" i="14"/>
  <c r="G14" i="21"/>
  <c r="AV40" i="14"/>
  <c r="U24" i="20"/>
  <c r="V24" i="20"/>
  <c r="V24" i="22"/>
  <c r="W23" i="20"/>
  <c r="AM23" i="14"/>
  <c r="Y23" i="14"/>
  <c r="Z23" i="14"/>
  <c r="E15" i="21"/>
  <c r="F15" i="21"/>
  <c r="E30" i="21"/>
  <c r="F30" i="21"/>
  <c r="AL14" i="14"/>
  <c r="AJ14" i="14"/>
  <c r="AA36" i="14"/>
  <c r="M33" i="21"/>
  <c r="H33" i="21"/>
  <c r="W24" i="20"/>
  <c r="AM24" i="14"/>
  <c r="Y24" i="14"/>
  <c r="Z24" i="14"/>
  <c r="P26" i="21"/>
  <c r="N26" i="21"/>
  <c r="F37" i="21"/>
  <c r="E37" i="21"/>
  <c r="M16" i="22"/>
  <c r="O15" i="22"/>
  <c r="AK20" i="14"/>
  <c r="AF20" i="14"/>
  <c r="AS21" i="14"/>
  <c r="AP21" i="14"/>
  <c r="AQ21" i="14"/>
  <c r="AR21" i="14"/>
  <c r="Q30" i="22"/>
  <c r="S29" i="22"/>
  <c r="AL22" i="14"/>
  <c r="AJ22" i="14"/>
  <c r="U14" i="20"/>
  <c r="V14" i="20"/>
  <c r="Y14" i="20"/>
  <c r="J14" i="21"/>
  <c r="L14" i="21"/>
  <c r="AB27" i="14"/>
  <c r="AG27" i="14"/>
  <c r="AE27" i="14"/>
  <c r="M37" i="22"/>
  <c r="O36" i="22"/>
  <c r="U11" i="20"/>
  <c r="V11" i="20"/>
  <c r="Y11" i="20"/>
  <c r="J11" i="21"/>
  <c r="L11" i="21"/>
  <c r="Y38" i="20"/>
  <c r="Z38" i="20"/>
  <c r="I11" i="21"/>
  <c r="K11" i="21"/>
  <c r="E13" i="21"/>
  <c r="F13" i="21"/>
  <c r="F14" i="21"/>
  <c r="E14" i="21"/>
  <c r="Q31" i="22"/>
  <c r="S30" i="22"/>
  <c r="M18" i="21"/>
  <c r="H18" i="21"/>
  <c r="I16" i="21"/>
  <c r="K16" i="21"/>
  <c r="AL23" i="14"/>
  <c r="AJ23" i="14"/>
  <c r="F26" i="21"/>
  <c r="E26" i="21"/>
  <c r="F9" i="21"/>
  <c r="E9" i="21"/>
  <c r="P34" i="21"/>
  <c r="N34" i="21"/>
  <c r="K32" i="21"/>
  <c r="O8" i="21"/>
  <c r="Q8" i="21"/>
  <c r="X38" i="14"/>
  <c r="AJ38" i="14"/>
  <c r="AL38" i="14"/>
  <c r="B14" i="21"/>
  <c r="H14" i="21"/>
  <c r="M14" i="21"/>
  <c r="U17" i="20"/>
  <c r="V17" i="20"/>
  <c r="V17" i="22"/>
  <c r="AK17" i="14"/>
  <c r="AF17" i="14"/>
  <c r="I13" i="21"/>
  <c r="K13" i="21"/>
  <c r="B24" i="21"/>
  <c r="G24" i="21"/>
  <c r="K27" i="21"/>
  <c r="M11" i="22"/>
  <c r="O10" i="22"/>
  <c r="Q14" i="21"/>
  <c r="O14" i="21"/>
  <c r="AL18" i="14"/>
  <c r="AJ18" i="14"/>
  <c r="AB30" i="14"/>
  <c r="AG30" i="14"/>
  <c r="AE30" i="14"/>
  <c r="Q12" i="21"/>
  <c r="O12" i="21"/>
  <c r="Z33" i="20"/>
  <c r="Q32" i="22"/>
  <c r="S31" i="22"/>
  <c r="Q37" i="22"/>
  <c r="S36" i="22"/>
  <c r="AA20" i="14"/>
  <c r="E18" i="21"/>
  <c r="F18" i="21"/>
  <c r="D15" i="23"/>
  <c r="U15" i="20"/>
  <c r="V15" i="20"/>
  <c r="V15" i="22"/>
  <c r="AP20" i="14"/>
  <c r="AQ20" i="14"/>
  <c r="AT20" i="14"/>
  <c r="AV20" i="14"/>
  <c r="AW20" i="14"/>
  <c r="AY20" i="14"/>
  <c r="X20" i="20"/>
  <c r="F27" i="21"/>
  <c r="E27" i="21"/>
  <c r="AS34" i="14"/>
  <c r="AR34" i="14"/>
  <c r="V33" i="22"/>
  <c r="AK29" i="14"/>
  <c r="AP29" i="14"/>
  <c r="AQ29" i="14"/>
  <c r="AT29" i="14"/>
  <c r="AV29" i="14"/>
  <c r="AW29" i="14"/>
  <c r="AF29" i="14"/>
  <c r="E12" i="21"/>
  <c r="F12" i="21"/>
  <c r="F29" i="21"/>
  <c r="E29" i="21"/>
  <c r="AF22" i="14"/>
  <c r="AP22" i="14"/>
  <c r="AQ22" i="14"/>
  <c r="AT22" i="14"/>
  <c r="AV22" i="14"/>
  <c r="AW22" i="14"/>
  <c r="AK22" i="14"/>
  <c r="AK9" i="14"/>
  <c r="AP9" i="14"/>
  <c r="AQ9" i="14"/>
  <c r="AT9" i="14"/>
  <c r="AV9" i="14"/>
  <c r="AW9" i="14"/>
  <c r="AF9" i="14"/>
  <c r="AF30" i="14"/>
  <c r="AP30" i="14"/>
  <c r="AQ30" i="14"/>
  <c r="AT30" i="14"/>
  <c r="AV30" i="14"/>
  <c r="AW30" i="14"/>
  <c r="AK30" i="14"/>
  <c r="U34" i="14"/>
  <c r="X34" i="14"/>
  <c r="AA34" i="14"/>
  <c r="E19" i="21"/>
  <c r="F19" i="21"/>
  <c r="AR16" i="14"/>
  <c r="AS16" i="14"/>
  <c r="E11" i="21"/>
  <c r="F11" i="21"/>
  <c r="I38" i="21"/>
  <c r="K38" i="21"/>
  <c r="I37" i="21"/>
  <c r="K37" i="21"/>
  <c r="I34" i="21"/>
  <c r="K34" i="21"/>
  <c r="AK34" i="14"/>
  <c r="AF34" i="14"/>
  <c r="B18" i="21"/>
  <c r="G18" i="21"/>
  <c r="F16" i="21"/>
  <c r="E16" i="21"/>
  <c r="Y40" i="14"/>
  <c r="L26" i="21"/>
  <c r="J26" i="21"/>
  <c r="Y26" i="20"/>
  <c r="Z26" i="20"/>
  <c r="I10" i="21"/>
  <c r="K10" i="21"/>
  <c r="F24" i="21"/>
  <c r="E24" i="21"/>
  <c r="L19" i="21"/>
  <c r="J19" i="21"/>
  <c r="G31" i="21"/>
  <c r="AK33" i="14"/>
  <c r="D34" i="23"/>
  <c r="T34" i="14"/>
  <c r="AP33" i="14"/>
  <c r="AQ33" i="14"/>
  <c r="AT33" i="14"/>
  <c r="AV33" i="14"/>
  <c r="AW33" i="14"/>
  <c r="AF33" i="14"/>
  <c r="AT17" i="14"/>
  <c r="AV17" i="14"/>
  <c r="AW17" i="14"/>
  <c r="AY17" i="14"/>
  <c r="X17" i="20"/>
  <c r="P15" i="21"/>
  <c r="N15" i="21"/>
  <c r="I27" i="21"/>
  <c r="N27" i="21"/>
  <c r="P27" i="21"/>
  <c r="B11" i="21"/>
  <c r="G11" i="21"/>
  <c r="B34" i="21"/>
  <c r="G34" i="21"/>
  <c r="AL27" i="14"/>
  <c r="AJ27" i="14"/>
  <c r="M28" i="22"/>
  <c r="O27" i="22"/>
  <c r="AB23" i="14"/>
  <c r="AG23" i="14"/>
  <c r="AE23" i="14"/>
  <c r="Y19" i="20"/>
  <c r="Z19" i="20"/>
  <c r="Z31" i="20"/>
  <c r="K30" i="21"/>
  <c r="P36" i="21"/>
  <c r="N36" i="21"/>
  <c r="AB9" i="14"/>
  <c r="AG9" i="14"/>
  <c r="AE9" i="14"/>
  <c r="Q38" i="21"/>
  <c r="T38" i="14"/>
  <c r="U38" i="14"/>
  <c r="O38" i="21"/>
  <c r="X32" i="20"/>
  <c r="AY32" i="14"/>
  <c r="AB33" i="14"/>
  <c r="AG33" i="14"/>
  <c r="AE33" i="14"/>
  <c r="AA35" i="14"/>
  <c r="I24" i="21"/>
  <c r="K24" i="21"/>
  <c r="AA31" i="14"/>
  <c r="Z35" i="20"/>
  <c r="U19" i="20"/>
  <c r="V19" i="20"/>
  <c r="V19" i="22"/>
  <c r="I32" i="21"/>
  <c r="N32" i="21"/>
  <c r="P32" i="21"/>
  <c r="T36" i="14"/>
  <c r="U36" i="14"/>
  <c r="X36" i="14"/>
  <c r="AJ36" i="14"/>
  <c r="AL36" i="14"/>
  <c r="AK25" i="14"/>
  <c r="AF25" i="14"/>
  <c r="M26" i="22"/>
  <c r="O25" i="22"/>
  <c r="C38" i="23"/>
  <c r="D38" i="23"/>
  <c r="U38" i="20"/>
  <c r="V38" i="20"/>
  <c r="V38" i="22"/>
  <c r="Z28" i="20"/>
  <c r="AE18" i="14"/>
  <c r="AG18" i="14"/>
  <c r="AB18" i="14"/>
  <c r="AL33" i="14"/>
  <c r="AJ33" i="14"/>
  <c r="AP40" i="14"/>
  <c r="W30" i="20"/>
  <c r="AM30" i="14"/>
  <c r="Y30" i="14"/>
  <c r="Z30" i="14"/>
  <c r="W37" i="20"/>
  <c r="AM37" i="14"/>
  <c r="Y37" i="14"/>
  <c r="Z37" i="14"/>
  <c r="AM40" i="14"/>
  <c r="L13" i="21"/>
  <c r="J13" i="21"/>
  <c r="P35" i="21"/>
  <c r="N35" i="21"/>
  <c r="K25" i="21"/>
  <c r="AR17" i="14"/>
  <c r="AP17" i="14"/>
  <c r="AQ17" i="14"/>
  <c r="AS17" i="14"/>
  <c r="F21" i="21"/>
  <c r="E21" i="21"/>
  <c r="E34" i="21"/>
  <c r="F34" i="21"/>
  <c r="F33" i="21"/>
  <c r="E33" i="21"/>
  <c r="O24" i="21"/>
  <c r="Q24" i="21"/>
  <c r="AP16" i="14"/>
  <c r="AQ16" i="14"/>
  <c r="AT16" i="14"/>
  <c r="AV16" i="14"/>
  <c r="AW16" i="14"/>
  <c r="AY16" i="14"/>
  <c r="X16" i="20"/>
  <c r="Q29" i="22"/>
  <c r="S28" i="22"/>
  <c r="U33" i="20"/>
  <c r="V33" i="20"/>
  <c r="Y33" i="20"/>
  <c r="J33" i="21"/>
  <c r="L33" i="21"/>
  <c r="I30" i="21"/>
  <c r="N30" i="21"/>
  <c r="P30" i="21"/>
  <c r="M24" i="22"/>
  <c r="O23" i="22"/>
  <c r="U26" i="14"/>
  <c r="O26" i="21"/>
  <c r="Q26" i="21"/>
  <c r="AA19" i="14"/>
  <c r="AE16" i="14"/>
  <c r="AG16" i="14"/>
  <c r="AB16" i="14"/>
  <c r="U29" i="14"/>
  <c r="X29" i="14"/>
  <c r="AA29" i="14"/>
  <c r="U24" i="14"/>
  <c r="X24" i="14"/>
  <c r="AA24" i="14"/>
  <c r="K28" i="21"/>
  <c r="AK40" i="14"/>
  <c r="AB22" i="14"/>
  <c r="AG22" i="14"/>
  <c r="AE22" i="14"/>
  <c r="O9" i="21"/>
  <c r="Q9" i="21"/>
  <c r="AA11" i="14"/>
  <c r="G32" i="21"/>
  <c r="G10" i="21"/>
  <c r="AE32" i="14"/>
  <c r="AG32" i="14"/>
  <c r="AB32" i="14"/>
  <c r="X31" i="20"/>
  <c r="AY31" i="14"/>
  <c r="AB17" i="14"/>
  <c r="AG17" i="14"/>
  <c r="AE17" i="14"/>
  <c r="B31" i="21"/>
  <c r="H31" i="21"/>
  <c r="M31" i="21"/>
  <c r="L30" i="21"/>
  <c r="J30" i="21"/>
  <c r="AP34" i="14"/>
  <c r="AQ34" i="14"/>
  <c r="AT34" i="14"/>
  <c r="AV34" i="14"/>
  <c r="AW34" i="14"/>
  <c r="AY34" i="14"/>
  <c r="X34" i="20"/>
  <c r="Y31" i="20"/>
  <c r="J31" i="21"/>
  <c r="L31" i="21"/>
  <c r="M38" i="21"/>
  <c r="H38" i="21"/>
  <c r="K23" i="21"/>
  <c r="AB37" i="14"/>
  <c r="AG37" i="14"/>
  <c r="AE37" i="14"/>
  <c r="O30" i="21"/>
  <c r="Q30" i="21"/>
  <c r="AL10" i="14"/>
  <c r="AJ10" i="14"/>
  <c r="Q19" i="22"/>
  <c r="S18" i="22"/>
  <c r="M12" i="22"/>
  <c r="O11" i="22"/>
  <c r="Q13" i="22"/>
  <c r="S12" i="22"/>
  <c r="AL16" i="14"/>
  <c r="AJ16" i="14"/>
  <c r="M19" i="21"/>
  <c r="H19" i="21"/>
  <c r="Q10" i="22"/>
  <c r="S9" i="22"/>
  <c r="Z12" i="14"/>
  <c r="Y12" i="14"/>
  <c r="AM12" i="14"/>
  <c r="W12" i="20"/>
  <c r="D20" i="23"/>
  <c r="T20" i="14"/>
  <c r="U20" i="14"/>
  <c r="X20" i="14"/>
  <c r="AJ20" i="14"/>
  <c r="AL20" i="14"/>
  <c r="O16" i="21"/>
  <c r="Q16" i="21"/>
  <c r="Z8" i="14"/>
  <c r="Y8" i="14"/>
  <c r="AM8" i="14"/>
  <c r="W8" i="20"/>
  <c r="I7" i="21"/>
  <c r="N7" i="21"/>
  <c r="T35" i="14"/>
  <c r="U35" i="14"/>
  <c r="X35" i="14"/>
  <c r="AJ35" i="14"/>
  <c r="AL35" i="14"/>
  <c r="O32" i="21"/>
  <c r="Q32" i="21"/>
  <c r="AJ31" i="14"/>
  <c r="AL31" i="14"/>
  <c r="D35" i="23"/>
  <c r="U35" i="20"/>
  <c r="V35" i="20"/>
  <c r="Y35" i="20"/>
  <c r="J35" i="21"/>
  <c r="L35" i="21"/>
  <c r="B36" i="21"/>
  <c r="G36" i="21"/>
  <c r="T30" i="14"/>
  <c r="U30" i="14"/>
  <c r="X30" i="14"/>
  <c r="AA30" i="14"/>
  <c r="T26" i="14"/>
  <c r="AP25" i="14"/>
  <c r="AQ25" i="14"/>
  <c r="AT25" i="14"/>
  <c r="AV25" i="14"/>
  <c r="AW25" i="14"/>
  <c r="AY25" i="14"/>
  <c r="X25" i="20"/>
  <c r="Z16" i="14"/>
  <c r="Y16" i="14"/>
  <c r="AM16" i="14"/>
  <c r="W16" i="20"/>
  <c r="Z21" i="14"/>
  <c r="Y21" i="14"/>
  <c r="AM21" i="14"/>
  <c r="W21" i="20"/>
  <c r="T31" i="14"/>
  <c r="U31" i="14"/>
  <c r="X31" i="14"/>
  <c r="AE31" i="14"/>
  <c r="AG31" i="14"/>
  <c r="AB31" i="14"/>
  <c r="Y40" i="20"/>
  <c r="U40" i="20"/>
  <c r="T23" i="14"/>
  <c r="U23" i="14"/>
  <c r="X23" i="14"/>
  <c r="AA23" i="14"/>
  <c r="K12" i="21"/>
  <c r="Y13" i="20"/>
  <c r="Z13" i="20"/>
  <c r="V28" i="22"/>
  <c r="I25" i="21"/>
  <c r="N25" i="21"/>
  <c r="P25" i="21"/>
  <c r="AS31" i="14"/>
  <c r="AR31" i="14"/>
  <c r="B38" i="21"/>
  <c r="G38" i="21"/>
  <c r="Y30" i="20"/>
  <c r="Z30" i="20"/>
  <c r="AA10" i="14"/>
  <c r="M22" i="21"/>
  <c r="H22" i="21"/>
  <c r="O11" i="21"/>
  <c r="Q11" i="21"/>
  <c r="AS10" i="14"/>
  <c r="AR10" i="14"/>
  <c r="D31" i="23"/>
  <c r="U31" i="20"/>
  <c r="V31" i="20"/>
  <c r="V31" i="22"/>
  <c r="X19" i="14"/>
  <c r="AJ19" i="14"/>
  <c r="AL19" i="14"/>
  <c r="D9" i="23"/>
  <c r="T9" i="14"/>
  <c r="U9" i="14"/>
  <c r="X9" i="14"/>
  <c r="AA9" i="14"/>
  <c r="I28" i="21"/>
  <c r="N28" i="21"/>
  <c r="P28" i="21"/>
  <c r="M20" i="22"/>
  <c r="O19" i="22"/>
  <c r="AK7" i="14"/>
  <c r="AL7" i="14"/>
  <c r="AL40" i="14"/>
  <c r="K14" i="21"/>
  <c r="U11" i="14"/>
  <c r="X11" i="14"/>
  <c r="AE11" i="14"/>
  <c r="AG11" i="14"/>
  <c r="AB11" i="14"/>
  <c r="B32" i="21"/>
  <c r="H32" i="21"/>
  <c r="M32" i="21"/>
  <c r="D19" i="23"/>
  <c r="T19" i="14"/>
  <c r="U19" i="14"/>
  <c r="O19" i="21"/>
  <c r="Q19" i="21"/>
  <c r="B10" i="21"/>
  <c r="H10" i="21"/>
  <c r="M10" i="21"/>
  <c r="AK10" i="14"/>
  <c r="AF10" i="14"/>
  <c r="Z37" i="20"/>
  <c r="G35" i="21"/>
  <c r="K21" i="21"/>
  <c r="U33" i="14"/>
  <c r="X33" i="14"/>
  <c r="AA33" i="14"/>
  <c r="I23" i="21"/>
  <c r="N23" i="21"/>
  <c r="P23" i="21"/>
  <c r="Z10" i="20"/>
  <c r="Z23" i="20"/>
  <c r="K8" i="21"/>
  <c r="AF26" i="14"/>
  <c r="AK26" i="14"/>
  <c r="Z36" i="20"/>
  <c r="AA12" i="14"/>
  <c r="G25" i="21"/>
  <c r="X40" i="14"/>
  <c r="U8" i="14"/>
  <c r="X8" i="14"/>
  <c r="AA8" i="14"/>
  <c r="AF23" i="14"/>
  <c r="AK23" i="14"/>
  <c r="D28" i="23"/>
  <c r="U28" i="20"/>
  <c r="V28" i="20"/>
  <c r="Y28" i="20"/>
  <c r="J28" i="21"/>
  <c r="L28" i="21"/>
  <c r="E32" i="21"/>
  <c r="F32" i="21"/>
  <c r="D14" i="23"/>
  <c r="T14" i="14"/>
  <c r="U14" i="14"/>
  <c r="X14" i="14"/>
  <c r="AA14" i="14"/>
  <c r="U27" i="14"/>
  <c r="X27" i="14"/>
  <c r="AA27" i="14"/>
  <c r="I15" i="21"/>
  <c r="K15" i="21"/>
  <c r="F10" i="21"/>
  <c r="E10" i="21"/>
  <c r="X21" i="14"/>
  <c r="AA21" i="14"/>
  <c r="I19" i="21"/>
  <c r="K19" i="21"/>
  <c r="D25" i="23"/>
  <c r="T25" i="14"/>
  <c r="U25" i="14"/>
  <c r="O25" i="21"/>
  <c r="Q25" i="21"/>
  <c r="B22" i="21"/>
  <c r="G22" i="21"/>
  <c r="AS26" i="14"/>
  <c r="AR26" i="14"/>
  <c r="I12" i="21"/>
  <c r="N12" i="21"/>
  <c r="P12" i="21"/>
  <c r="D13" i="23"/>
  <c r="U13" i="20"/>
  <c r="V13" i="20"/>
  <c r="V13" i="22"/>
  <c r="X18" i="14"/>
  <c r="AA18" i="14"/>
  <c r="B19" i="21"/>
  <c r="G19" i="21"/>
  <c r="F35" i="21"/>
  <c r="E35" i="21"/>
  <c r="AR28" i="14"/>
  <c r="AS28" i="14"/>
  <c r="AK31" i="14"/>
  <c r="AP31" i="14"/>
  <c r="AQ31" i="14"/>
  <c r="AT31" i="14"/>
  <c r="AV31" i="14"/>
  <c r="AW31" i="14"/>
  <c r="AF31" i="14"/>
  <c r="F36" i="21"/>
  <c r="E36" i="21"/>
  <c r="Q11" i="22"/>
  <c r="S10" i="22"/>
  <c r="F38" i="21"/>
  <c r="C37" i="21"/>
  <c r="C38" i="21"/>
  <c r="E38" i="21"/>
  <c r="D30" i="23"/>
  <c r="U30" i="20"/>
  <c r="V30" i="20"/>
  <c r="V30" i="22"/>
  <c r="V37" i="22"/>
  <c r="M35" i="22"/>
  <c r="O34" i="22"/>
  <c r="O17" i="21"/>
  <c r="Q17" i="21"/>
  <c r="T10" i="14"/>
  <c r="U10" i="14"/>
  <c r="X10" i="14"/>
  <c r="Z10" i="14"/>
  <c r="Y10" i="14"/>
  <c r="AM10" i="14"/>
  <c r="W10" i="20"/>
  <c r="V23" i="22"/>
  <c r="M19" i="22"/>
  <c r="O18" i="22"/>
  <c r="AF28" i="14"/>
  <c r="D29" i="23"/>
  <c r="T29" i="14"/>
  <c r="AP28" i="14"/>
  <c r="AQ28" i="14"/>
  <c r="AT28" i="14"/>
  <c r="AV28" i="14"/>
  <c r="AW28" i="14"/>
  <c r="AK28" i="14"/>
  <c r="Q17" i="22"/>
  <c r="S16" i="22"/>
  <c r="D26" i="23"/>
  <c r="U26" i="20"/>
  <c r="V26" i="20"/>
  <c r="V26" i="22"/>
  <c r="D12" i="23"/>
  <c r="T12" i="14"/>
  <c r="U12" i="14"/>
  <c r="X12" i="14"/>
  <c r="AJ12" i="14"/>
  <c r="AL12" i="14"/>
  <c r="C36" i="21"/>
  <c r="I36" i="21"/>
  <c r="K36" i="21"/>
  <c r="I35" i="21"/>
  <c r="K35" i="21"/>
  <c r="B33" i="21"/>
  <c r="G33" i="21"/>
  <c r="D16" i="23"/>
  <c r="T16" i="14"/>
  <c r="U16" i="14"/>
  <c r="X16" i="14"/>
  <c r="AA16" i="14"/>
  <c r="O38" i="22"/>
  <c r="X22" i="14"/>
  <c r="AA22" i="14"/>
  <c r="I14" i="21"/>
  <c r="N14" i="21"/>
  <c r="P14" i="21"/>
  <c r="AK32" i="14"/>
  <c r="D33" i="23"/>
  <c r="T33" i="14"/>
  <c r="AP32" i="14"/>
  <c r="AQ32" i="14"/>
  <c r="AT32" i="14"/>
  <c r="AV32" i="14"/>
  <c r="AW32" i="14"/>
  <c r="AF32" i="14"/>
  <c r="I26" i="21"/>
  <c r="K26" i="21"/>
  <c r="S38" i="22"/>
  <c r="D32" i="23"/>
  <c r="T32" i="14"/>
  <c r="U32" i="14"/>
  <c r="X32" i="14"/>
  <c r="AA32" i="14"/>
  <c r="D11" i="23"/>
  <c r="T11" i="14"/>
  <c r="AP10" i="14"/>
  <c r="AQ10" i="14"/>
  <c r="AT10" i="14"/>
  <c r="AV10" i="14"/>
  <c r="AW10" i="14"/>
  <c r="AY10" i="14"/>
  <c r="X10" i="20"/>
  <c r="U37" i="20"/>
  <c r="V37" i="20"/>
  <c r="Y37" i="20"/>
  <c r="J37" i="21"/>
  <c r="L37" i="21"/>
  <c r="D17" i="23"/>
  <c r="T17" i="14"/>
  <c r="U17" i="14"/>
  <c r="X17" i="14"/>
  <c r="AA17" i="14"/>
  <c r="S25" i="22"/>
  <c r="Q26" i="22"/>
  <c r="C26" i="21"/>
  <c r="C27" i="21"/>
  <c r="C28" i="21"/>
  <c r="C29" i="21"/>
  <c r="C30" i="21"/>
  <c r="C31" i="21"/>
  <c r="C32" i="21"/>
  <c r="C33" i="21"/>
  <c r="C34" i="21"/>
  <c r="C35" i="21"/>
  <c r="B35" i="21"/>
  <c r="H35" i="21"/>
  <c r="M35" i="21"/>
  <c r="D18" i="23"/>
  <c r="T18" i="14"/>
  <c r="U18" i="14"/>
  <c r="O18" i="21"/>
  <c r="Q18" i="21"/>
  <c r="I21" i="21"/>
  <c r="N21" i="21"/>
  <c r="P21" i="21"/>
  <c r="C37" i="23"/>
  <c r="D37" i="23"/>
  <c r="T37" i="14"/>
  <c r="U37" i="14"/>
  <c r="X37" i="14"/>
  <c r="AA37" i="14"/>
  <c r="D10" i="23"/>
  <c r="U10" i="20"/>
  <c r="V10" i="20"/>
  <c r="Y10" i="20"/>
  <c r="J10" i="21"/>
  <c r="L10" i="21"/>
  <c r="U8" i="20"/>
  <c r="V8" i="20"/>
  <c r="Y8" i="20"/>
  <c r="Z8" i="20"/>
  <c r="S27" i="22"/>
  <c r="Q28" i="22"/>
  <c r="D23" i="23"/>
  <c r="U23" i="20"/>
  <c r="V23" i="20"/>
  <c r="Y23" i="20"/>
  <c r="J23" i="21"/>
  <c r="L23" i="21"/>
  <c r="I8" i="21"/>
  <c r="N8" i="21"/>
  <c r="P8" i="21"/>
  <c r="D21" i="23"/>
  <c r="T21" i="14"/>
  <c r="U21" i="14"/>
  <c r="O21" i="21"/>
  <c r="Q21" i="21"/>
  <c r="D27" i="23"/>
  <c r="T27" i="14"/>
  <c r="AP26" i="14"/>
  <c r="AQ26" i="14"/>
  <c r="AT26" i="14"/>
  <c r="AV26" i="14"/>
  <c r="AW26" i="14"/>
  <c r="AY26" i="14"/>
  <c r="X26" i="20"/>
  <c r="C25" i="23"/>
  <c r="C26" i="23"/>
  <c r="C27" i="23"/>
  <c r="C28" i="23"/>
  <c r="C29" i="23"/>
  <c r="C30" i="23"/>
  <c r="C31" i="23"/>
  <c r="C32" i="23"/>
  <c r="C33" i="23"/>
  <c r="C34" i="23"/>
  <c r="C35" i="23"/>
  <c r="C36" i="23"/>
  <c r="D36" i="23"/>
  <c r="U36" i="20"/>
  <c r="V36" i="20"/>
  <c r="Y36" i="20"/>
  <c r="J36" i="21"/>
  <c r="L36" i="21"/>
  <c r="D22" i="23"/>
  <c r="T22" i="14"/>
  <c r="U22" i="14"/>
  <c r="O22" i="21"/>
  <c r="Q22" i="21"/>
  <c r="D7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B25" i="21"/>
  <c r="H25" i="21"/>
  <c r="M25" i="21"/>
  <c r="D8" i="23"/>
  <c r="T8" i="14"/>
  <c r="AP7" i="14"/>
  <c r="AQ7" i="14"/>
  <c r="AT7" i="14"/>
  <c r="AV7" i="14"/>
  <c r="AW7" i="14"/>
  <c r="Z7" i="14"/>
  <c r="Y7" i="14"/>
  <c r="AM7" i="14"/>
  <c r="W7" i="20"/>
  <c r="Y7" i="20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D24" i="23"/>
  <c r="T24" i="14"/>
  <c r="AP23" i="14"/>
  <c r="AQ23" i="14"/>
  <c r="AT23" i="14"/>
  <c r="AV23" i="14"/>
  <c r="AW23" i="14"/>
  <c r="AY23" i="14"/>
  <c r="X23" i="20"/>
</calcChain>
</file>

<file path=xl/sharedStrings.xml><?xml version="1.0" encoding="utf-8"?>
<sst xmlns="http://schemas.openxmlformats.org/spreadsheetml/2006/main" count="380" uniqueCount="249">
  <si>
    <t xml:space="preserve"> </t>
  </si>
  <si>
    <t>Der NWB Verlag übernimmt keine Gewähr und keine Haftung für die Richtigkeit der Ergebnisse.</t>
  </si>
  <si>
    <t>Bitte beachten Sie, dass sich eine Veränderung der Gestaltung des Formulars auch</t>
  </si>
  <si>
    <t>Investitionskosten der Fotovoltaik-Anlage</t>
  </si>
  <si>
    <t>Solarzellen und Solarmodule</t>
  </si>
  <si>
    <t>Netzeinspeisegerät und Wechselrichter</t>
  </si>
  <si>
    <t>Kabel und Zubehör</t>
  </si>
  <si>
    <t>Anschaffungskosten gesamt</t>
  </si>
  <si>
    <t>netto</t>
  </si>
  <si>
    <t>brutto</t>
  </si>
  <si>
    <t>Leistung der Fotovoltaik-Anlage</t>
  </si>
  <si>
    <t>kWp</t>
  </si>
  <si>
    <t>Leistung der Anlage (Maximalleistung in kWp)</t>
  </si>
  <si>
    <t>Jährliche Sonneneinstrahlung im Durchschnitt pro kWp</t>
  </si>
  <si>
    <t>Sonneneinstrahlung pro kWp im Jahr der Inbetriebnahme</t>
  </si>
  <si>
    <t>kWh</t>
  </si>
  <si>
    <t>Zeitpunkt der Inbetriebnahme</t>
  </si>
  <si>
    <t>Moduldegradation in Prozent pro Jahr</t>
  </si>
  <si>
    <t>USt</t>
  </si>
  <si>
    <t>Ertragserwartungen</t>
  </si>
  <si>
    <t xml:space="preserve">Einspeisevergütung nach EEG </t>
  </si>
  <si>
    <t>€/kWh</t>
  </si>
  <si>
    <t>Verhältnis von Stromverkauf und Eigenverbrauch</t>
  </si>
  <si>
    <t>Stromverkauf in Prozent pro Jahr</t>
  </si>
  <si>
    <t>Eigenverbrauch des Stroms in Prozent pro Jahr</t>
  </si>
  <si>
    <t>Allgemeine Preisentwicklung</t>
  </si>
  <si>
    <t>Inflationsrate allgemein</t>
  </si>
  <si>
    <t>Inflationsrate für Energiekosten</t>
  </si>
  <si>
    <t>Laufende Betriebskosten</t>
  </si>
  <si>
    <t>Versicherungen pro Jahr</t>
  </si>
  <si>
    <t>Darlehen 1</t>
  </si>
  <si>
    <t>Art des Darlehens</t>
  </si>
  <si>
    <t>Darlehensbetrag</t>
  </si>
  <si>
    <t>Jahre</t>
  </si>
  <si>
    <t>Darlehenslaufzeit</t>
  </si>
  <si>
    <t>Zinssatz nominal</t>
  </si>
  <si>
    <t>Tilgungsfreie Zeit in Monaten</t>
  </si>
  <si>
    <t>Monate</t>
  </si>
  <si>
    <t>Restwert nach Laufzeitende</t>
  </si>
  <si>
    <t>Darlehen 2</t>
  </si>
  <si>
    <t>Darlehen 3</t>
  </si>
  <si>
    <t>Steuerliche Angaben</t>
  </si>
  <si>
    <t>Höhe des zu versteuernden Einkommens (1. bis 10. Jahr)</t>
  </si>
  <si>
    <t>Höhe des zu versteuernden Einkommens (11. bis 20. Jahr)</t>
  </si>
  <si>
    <t>Sonderabschreibung</t>
  </si>
  <si>
    <t>Absetzung für Abnutzung</t>
  </si>
  <si>
    <t>Umsatzsteuer</t>
  </si>
  <si>
    <t>Kleinunternehmer</t>
  </si>
  <si>
    <t>Investitionsabzugsbetrag</t>
  </si>
  <si>
    <t>Höhe der Sonderabschreibung in Prozent (max. 20%)</t>
  </si>
  <si>
    <t>Inanspruchnahme des IAB</t>
  </si>
  <si>
    <t>Höhe des IAB in Prozent (max. 40%)</t>
  </si>
  <si>
    <t>Gewerbesteuer</t>
  </si>
  <si>
    <t>Hebesatz der Gemeinde</t>
  </si>
  <si>
    <t>Wirtschaftliche Rahmenbedingungen</t>
  </si>
  <si>
    <t>Zinssatz für Barwertermittlung (Diskontzinssatz)</t>
  </si>
  <si>
    <t>Wirtschaftsgut:</t>
  </si>
  <si>
    <t>Anschaffungskosten:</t>
  </si>
  <si>
    <t>Anschaffungsdatum:</t>
  </si>
  <si>
    <t>AfA-Satz:</t>
  </si>
  <si>
    <t xml:space="preserve">Jahr </t>
  </si>
  <si>
    <t>Restwert 01.01.</t>
  </si>
  <si>
    <t>AfA</t>
  </si>
  <si>
    <t>kumulierte AfA</t>
  </si>
  <si>
    <t>Restwert 31.12.</t>
  </si>
  <si>
    <t>Anschaffungskostenminderung § 7g EStG:</t>
  </si>
  <si>
    <t>Höhe der Anschaffungskostenminderung in Prozent</t>
  </si>
  <si>
    <t>Zins</t>
  </si>
  <si>
    <t>Periode</t>
  </si>
  <si>
    <t>Jährlicher Tilgungsplan:</t>
  </si>
  <si>
    <t>Restwert</t>
  </si>
  <si>
    <t>Tilgung</t>
  </si>
  <si>
    <t>Annuität</t>
  </si>
  <si>
    <t>Jahr</t>
  </si>
  <si>
    <t>Darlehensart</t>
  </si>
  <si>
    <t>Zinssatz</t>
  </si>
  <si>
    <t xml:space="preserve">Tilgungsfreie Zeit </t>
  </si>
  <si>
    <t>Monatlicher Tilgungsplan:</t>
  </si>
  <si>
    <t>Ratendarlehen</t>
  </si>
  <si>
    <t>Nein</t>
  </si>
  <si>
    <t>Monat</t>
  </si>
  <si>
    <t>Beginn im Jahr der Darlehensaufnahme</t>
  </si>
  <si>
    <t>Sonnen-einstrahlung in kWh/a</t>
  </si>
  <si>
    <t>Betriebliche Erlöse</t>
  </si>
  <si>
    <t>Wartung und Reparatur</t>
  </si>
  <si>
    <t>Versicherungen</t>
  </si>
  <si>
    <t xml:space="preserve">Zählermiete </t>
  </si>
  <si>
    <t>USt auf Entnahme</t>
  </si>
  <si>
    <t>Zinsaufwand</t>
  </si>
  <si>
    <t>Investitions-abzugsbetrag</t>
  </si>
  <si>
    <t>Erlöse</t>
  </si>
  <si>
    <t>Aufwendungen</t>
  </si>
  <si>
    <t>Einnahmen</t>
  </si>
  <si>
    <t>Ausgaben</t>
  </si>
  <si>
    <t>Höhe des zu versteuernden Einkommens (ab dem 21. Jahr)</t>
  </si>
  <si>
    <t>Einkommensteuer</t>
  </si>
  <si>
    <t>Zusammenveranlagung</t>
  </si>
  <si>
    <t>zvE inkl. Ergebnis der Fotovoltaik-Anlage</t>
  </si>
  <si>
    <t>zvE ohne Ergebnis der Fotovolatik-Anlage</t>
  </si>
  <si>
    <t>Einzel-veranlagung</t>
  </si>
  <si>
    <t>Zusammen-veranlagung</t>
  </si>
  <si>
    <t>Einzel-veranlagung ohne Anlage</t>
  </si>
  <si>
    <t>Zusammen-veranlagung ohne Anlage</t>
  </si>
  <si>
    <t>Zusammen-veranlagung mit Anlage</t>
  </si>
  <si>
    <t>Einkommensteuerliche Belastung/Entlastung</t>
  </si>
  <si>
    <t>Freibetrag</t>
  </si>
  <si>
    <t>Hebesatz</t>
  </si>
  <si>
    <t>Gewerbesteuerliche Belastung/Entlastung</t>
  </si>
  <si>
    <t>Steuerliche Belastungen/Entlastungen</t>
  </si>
  <si>
    <t>Analyse der Kapitalstruktur</t>
  </si>
  <si>
    <t>Gesamtkapital</t>
  </si>
  <si>
    <t>Eigenkapital</t>
  </si>
  <si>
    <t>Fremdkapital</t>
  </si>
  <si>
    <t>Eigenkapital-quote</t>
  </si>
  <si>
    <t>Verschuldungs-grad</t>
  </si>
  <si>
    <t>Fremdkapital-quote</t>
  </si>
  <si>
    <t>Analyse der Liquidität</t>
  </si>
  <si>
    <t>Cash Flow Rentabilität I</t>
  </si>
  <si>
    <t>Cash Flow Rentabilität II</t>
  </si>
  <si>
    <t>Gewinn/Verlust</t>
  </si>
  <si>
    <t>Eigenkapital-rentabilität</t>
  </si>
  <si>
    <t>Gesamtkapital-rentabilität</t>
  </si>
  <si>
    <t>Analyse der Rentabilität</t>
  </si>
  <si>
    <t>Amortisationsrechnung</t>
  </si>
  <si>
    <t>Es handelt sich um ein statisches Investitionsrechenverfahren. Anknüpfungspunkt sind die Ein- und Auszahlungen.</t>
  </si>
  <si>
    <t>Jahr, in welchem das investierte Kapital zurückgeflossen ist:</t>
  </si>
  <si>
    <t>Barwert der Überschüsse/  Unterdeckungen</t>
  </si>
  <si>
    <t>Im vorliegenden Fall wird die Kumulationsmethode unter Berücksichtigung der Liquiditätsvorschau angewandt.</t>
  </si>
  <si>
    <t>Kapitalwertmethode</t>
  </si>
  <si>
    <t>Barwert aller Ein- und Auszahlungen:</t>
  </si>
  <si>
    <t>Hierbei wurde folgender Zinssatz berücksichtigt:</t>
  </si>
  <si>
    <t>Unter Berücksichtigung der abgezinsten Ein- und Auszahlungen ergeben sich für die Amortisationsrechnung</t>
  </si>
  <si>
    <t>folgende Ergebnisse:</t>
  </si>
  <si>
    <t>Einspeisevergütung nach Ablauf der Förderdauer</t>
  </si>
  <si>
    <t>durchschnittlicher Verbrauchspreis</t>
  </si>
  <si>
    <t>Kontokorrentzinsen</t>
  </si>
  <si>
    <t>Interner-Zinsfuß-Methode</t>
  </si>
  <si>
    <t>Einspeisevergütung nach Ablauf der Förderperiode</t>
  </si>
  <si>
    <t>Der interne Zinsfuß beträgt für die gesamte Laufzeit:</t>
  </si>
  <si>
    <t>Der interne Zinsfuß beträgt für die Förderdauer:</t>
  </si>
  <si>
    <t>Kontokorrentkonto</t>
  </si>
  <si>
    <t>Darlehen I</t>
  </si>
  <si>
    <t>Darlehen II</t>
  </si>
  <si>
    <t>Kontostand</t>
  </si>
  <si>
    <t>Kontokorrent-zinsen</t>
  </si>
  <si>
    <t>Restwert Anfang</t>
  </si>
  <si>
    <t>Zinsen</t>
  </si>
  <si>
    <t>Restwert Ende</t>
  </si>
  <si>
    <t>Darlehen III</t>
  </si>
  <si>
    <t>Annuitätendarlehen</t>
  </si>
  <si>
    <t>Restwertdarlehen</t>
  </si>
  <si>
    <t>Ja</t>
  </si>
  <si>
    <t>einkommensteuerliche Belastung/Entlastung gesamt</t>
  </si>
  <si>
    <t>Cash Flow nach Steuern</t>
  </si>
  <si>
    <t>Sonstige Anschaffungsnebenkosten</t>
  </si>
  <si>
    <t>Minderung der Anschaffungskosten nach § 7g Abs. 2 Satz 2 EStG</t>
  </si>
  <si>
    <t>Zu versteuerndes Einkommen</t>
  </si>
  <si>
    <t>Wartung und Reparatur netto pro Jahr *</t>
  </si>
  <si>
    <t>Zählermiete netto pro Jahr *</t>
  </si>
  <si>
    <t>Verwaltungskosten netto pro Jahr *</t>
  </si>
  <si>
    <t>Sonstige Kosten netto pro Jahr *</t>
  </si>
  <si>
    <t>* Es wurde unterstellt, dass der leistende Unternehmer USt ausweist.</t>
  </si>
  <si>
    <t>einkommen-steuerliche Belastung/     Entlastung  *</t>
  </si>
  <si>
    <t>** Beginn der sachlichen Gewerbesteuerpflicht erst mit Inbetriebnahme der Anlage.</t>
  </si>
  <si>
    <t xml:space="preserve">Ersparnis Eigenverbrauch (Fiktive Einnnahme) </t>
  </si>
  <si>
    <t>%</t>
  </si>
  <si>
    <t>€</t>
  </si>
  <si>
    <t>Betriebsgewöhnliche Nutzungsdauer (in Jahren)</t>
  </si>
  <si>
    <t>Nutzungsdauer (in Jahren):</t>
  </si>
  <si>
    <t>Hilfsberechungen</t>
  </si>
  <si>
    <t>Die Amortisationsdauer beträgt (in Jahren):</t>
  </si>
  <si>
    <t>Jahr2</t>
  </si>
  <si>
    <t>Solidaritäts-zuschlag3</t>
  </si>
  <si>
    <t>Solidaritäts-zuschlag5</t>
  </si>
  <si>
    <t>Jahr6</t>
  </si>
  <si>
    <t>Solidaritätszuschlag</t>
  </si>
  <si>
    <t>Steuerermäßigung  § 35 EStG</t>
  </si>
  <si>
    <t>Einzelveranlagung mit Anlage</t>
  </si>
  <si>
    <t xml:space="preserve">Solidaritätszuschlag </t>
  </si>
  <si>
    <t>Solidaritätszuschlag Belastung/ Entlastung</t>
  </si>
  <si>
    <t>Sonderab-schreibung</t>
  </si>
  <si>
    <t>Anschaffungskostenminderung iSd. § 7g EStG</t>
  </si>
  <si>
    <t>Steuerbefreiung nach § 3 Nr. 32 GewStG</t>
  </si>
  <si>
    <t xml:space="preserve">     Bei Anwendung der Steuerbefreiung nach § 3 Nr. 32 GewStG Ansatz mit 0 €, da der Gewerbebetrieb in vollem Umfang von der Gewerbesteuer befreit ist.</t>
  </si>
  <si>
    <t xml:space="preserve">   weiterer steuerlicher Regelungen vom 01.12.2020 (2. FamEntlastG).</t>
  </si>
  <si>
    <t>Steuer-ermäßigung  § 35 EStG</t>
  </si>
  <si>
    <t>1. Versionshinweis</t>
  </si>
  <si>
    <t>Vorliegen einer aktuelleren Version in der NWB Datenbank prüfen.</t>
  </si>
  <si>
    <t>2. Eingabefelder</t>
  </si>
  <si>
    <t>Die Eingabefelder sind gelb hinterlegt.</t>
  </si>
  <si>
    <t xml:space="preserve">3. Schreibschutz / Kennwort </t>
  </si>
  <si>
    <t>Die Arbeitsblätter sind - abgesehen von den Eingabefeldern - mit einem Schreibschutz belegt.</t>
  </si>
  <si>
    <r>
      <t xml:space="preserve">Das </t>
    </r>
    <r>
      <rPr>
        <b/>
        <sz val="11"/>
        <rFont val="Calibri"/>
        <family val="2"/>
        <scheme val="minor"/>
      </rPr>
      <t>Kennwort für die Aufhebung des Schreibschutzes</t>
    </r>
    <r>
      <rPr>
        <sz val="11"/>
        <rFont val="Calibri"/>
        <family val="2"/>
        <scheme val="minor"/>
      </rPr>
      <t xml:space="preserve"> lautet:</t>
    </r>
  </si>
  <si>
    <t>nwbverlag</t>
  </si>
  <si>
    <t xml:space="preserve">auf die Richtigkeit der Berechnungsformeln auswirken können. </t>
  </si>
  <si>
    <t>4. Autor</t>
  </si>
  <si>
    <t>5. Haftungsausschluss / AGB</t>
  </si>
  <si>
    <t>Im Übrigen gelten die die aktuellen AGB der NWB Datenbank und des NWB Verlages.</t>
  </si>
  <si>
    <t>NWB Verlag GmbH &amp; Co. KG</t>
  </si>
  <si>
    <t>Eschstr. 22 · 44629 Herne</t>
  </si>
  <si>
    <t>Fon 02323.141-900 · Fax 02323.141-123</t>
  </si>
  <si>
    <t>E-Mail: info@nwb.de</t>
  </si>
  <si>
    <t>Internet: www.nwb.de</t>
  </si>
  <si>
    <t>Alle Rechte vorbehalten. Vervielfältigungen nur mit Zustimmung des Verlages.</t>
  </si>
  <si>
    <t>3. Umgang mit Zirkelbezügen</t>
  </si>
  <si>
    <t>In dem Excel-Tool sind Berechnungen enthalten, für die der Modus "iterative Berechnungen" erforderlich ist. 
Diese werden in Excel wie folgt aktiviert: 
Datei -&gt; Optionen -&gt; Formeln -&gt; Berechnungsoptionen -&gt; Iterative Berechnungen aktivieren</t>
  </si>
  <si>
    <t>Dieses Berechnungsprogramm wird inhaltlich betreut von Daniel Martz.</t>
  </si>
  <si>
    <t>NWB ZAAAG-89939</t>
  </si>
  <si>
    <t>6. Kontakt</t>
  </si>
  <si>
    <t>Sonnenein-
strahlung 
in kWh/a</t>
  </si>
  <si>
    <t>Umsatz-
erlöse</t>
  </si>
  <si>
    <t>Auszahlung 
Darlehen</t>
  </si>
  <si>
    <t>Anschaffungs-
kosten 
Fotovoltaik-Anlage</t>
  </si>
  <si>
    <t>Wartung 
und 
Reparatur</t>
  </si>
  <si>
    <t>Verwaltungs-
kosten</t>
  </si>
  <si>
    <t>sonstige 
Kosten</t>
  </si>
  <si>
    <t>USt 
Entnahme</t>
  </si>
  <si>
    <t>Annuität 
Darlehen</t>
  </si>
  <si>
    <t>Kontokorrent-
zinsen</t>
  </si>
  <si>
    <t>Liquiditäts-
überschuss/-unterdeckung vor Ertragsteuern</t>
  </si>
  <si>
    <t>einkommen-
steuerliche Belastung/
Entlastung gesamt</t>
  </si>
  <si>
    <t>Gewerbe-
steuer</t>
  </si>
  <si>
    <t>Liquiditäts-
überschuss/-unterdeckung 
nach Ertragsteuern</t>
  </si>
  <si>
    <t>Entnahme 
(Eigen-
verbrauch)</t>
  </si>
  <si>
    <t>Sonder-
abschreibung</t>
  </si>
  <si>
    <t>Anschaffungs-
kosten-minderung iSd. 
§ 7g EStG</t>
  </si>
  <si>
    <t>Gewinn 
oder Verlust</t>
  </si>
  <si>
    <t>Steuerlicher 
Gewinn iSd EStG **</t>
  </si>
  <si>
    <t>Hinzurechnungen 
§ 8 GewStG</t>
  </si>
  <si>
    <t xml:space="preserve">Gewerbe-
ertrag </t>
  </si>
  <si>
    <t>Verlust-
abzug</t>
  </si>
  <si>
    <t>Verlust-
vortrag</t>
  </si>
  <si>
    <t>Gewerbe-
ertrag nach Verlustabzug</t>
  </si>
  <si>
    <t>Steuer-
pflichtiger Gewerbeertrag</t>
  </si>
  <si>
    <t>Gewerbe-
steuermess-
betrag</t>
  </si>
  <si>
    <t>Aktueller durschnittlicher Verbrauchspreis pro kWh inkl. USt</t>
  </si>
  <si>
    <t>* Berechnung basiert auf § 32a EStG für den Veranlagungszeitraum 2022 in der Fassung</t>
  </si>
  <si>
    <t xml:space="preserve">   des zweiten Gesetzes zur steuerlichen Entlastung von Familien sowie zur Anpassung </t>
  </si>
  <si>
    <t>Version 2022.1</t>
  </si>
  <si>
    <r>
      <t xml:space="preserve">Renditerechner für Photovoltaik-Anlagen
</t>
    </r>
    <r>
      <rPr>
        <b/>
        <sz val="12"/>
        <color theme="1"/>
        <rFont val="Calibri"/>
        <family val="2"/>
        <scheme val="minor"/>
      </rPr>
      <t>- Eingabe -</t>
    </r>
  </si>
  <si>
    <r>
      <t xml:space="preserve">Renditerechner für Photovoltaik-Anlagen
</t>
    </r>
    <r>
      <rPr>
        <b/>
        <sz val="12"/>
        <rFont val="Calibri"/>
        <family val="2"/>
        <scheme val="minor"/>
      </rPr>
      <t>- Version und Hinweise -</t>
    </r>
  </si>
  <si>
    <r>
      <t xml:space="preserve">Renditerechner für Photovoltaik-Anlagen
</t>
    </r>
    <r>
      <rPr>
        <b/>
        <sz val="12"/>
        <color theme="1"/>
        <rFont val="Calibri"/>
        <family val="2"/>
        <scheme val="minor"/>
      </rPr>
      <t>- Finanzierung -</t>
    </r>
  </si>
  <si>
    <r>
      <t xml:space="preserve">Renditerechner für Photovoltaik-Anlagen
</t>
    </r>
    <r>
      <rPr>
        <b/>
        <sz val="12"/>
        <color theme="1"/>
        <rFont val="Calibri"/>
        <family val="2"/>
        <scheme val="minor"/>
      </rPr>
      <t>- Steuerliche Gewinnermittlung -</t>
    </r>
  </si>
  <si>
    <r>
      <t xml:space="preserve">Renditerechner für Photovoltaik-Anlagen
</t>
    </r>
    <r>
      <rPr>
        <b/>
        <sz val="12"/>
        <color theme="1"/>
        <rFont val="Calibri"/>
        <family val="2"/>
        <scheme val="minor"/>
      </rPr>
      <t>- Absetzung für Abnutzung -</t>
    </r>
  </si>
  <si>
    <r>
      <t xml:space="preserve">Renditerechner für Photovoltaik-Anlagen
</t>
    </r>
    <r>
      <rPr>
        <b/>
        <sz val="12"/>
        <color theme="1"/>
        <rFont val="Calibri"/>
        <family val="2"/>
        <scheme val="minor"/>
      </rPr>
      <t>- Liquiditätsvorschau -</t>
    </r>
  </si>
  <si>
    <r>
      <t xml:space="preserve">Renditerechner für Photovoltaik-Anlagen
</t>
    </r>
    <r>
      <rPr>
        <b/>
        <sz val="12"/>
        <color theme="1"/>
        <rFont val="Calibri"/>
        <family val="2"/>
        <scheme val="minor"/>
      </rPr>
      <t>- Kennzahlen -</t>
    </r>
  </si>
  <si>
    <r>
      <t xml:space="preserve">Renditerechner für Photovoltaik-Anlagen
</t>
    </r>
    <r>
      <rPr>
        <b/>
        <sz val="12"/>
        <color theme="1"/>
        <rFont val="Calibri"/>
        <family val="2"/>
        <scheme val="minor"/>
      </rPr>
      <t>- Investition -</t>
    </r>
  </si>
  <si>
    <r>
      <t xml:space="preserve">Renditerechner für Photovoltaik-Anlagen
</t>
    </r>
    <r>
      <rPr>
        <b/>
        <sz val="12"/>
        <color theme="1"/>
        <rFont val="Calibri"/>
        <family val="2"/>
        <scheme val="minor"/>
      </rPr>
      <t>- Konten -</t>
    </r>
  </si>
  <si>
    <t>Photovoltaik-Anlage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</si>
</sst>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000"/>
    <numFmt numFmtId="166" formatCode="yyyy"/>
  </numFmts>
  <fonts count="3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ck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/>
    <xf numFmtId="0" fontId="29" fillId="0" borderId="0" applyNumberFormat="0" applyFill="0" applyBorder="0" applyAlignment="0" applyProtection="0"/>
  </cellStyleXfs>
  <cellXfs count="260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8" fillId="0" borderId="0" xfId="4" applyFont="1" applyBorder="1" applyProtection="1">
      <protection hidden="1"/>
    </xf>
    <xf numFmtId="0" fontId="8" fillId="0" borderId="0" xfId="4" applyFont="1" applyFill="1" applyBorder="1" applyProtection="1">
      <protection hidden="1"/>
    </xf>
    <xf numFmtId="4" fontId="8" fillId="0" borderId="0" xfId="4" applyNumberFormat="1" applyFont="1" applyFill="1" applyBorder="1" applyProtection="1">
      <protection hidden="1"/>
    </xf>
    <xf numFmtId="0" fontId="8" fillId="0" borderId="0" xfId="4" applyFont="1" applyProtection="1">
      <protection hidden="1"/>
    </xf>
    <xf numFmtId="0" fontId="9" fillId="0" borderId="2" xfId="4" applyFont="1" applyBorder="1" applyProtection="1">
      <protection hidden="1"/>
    </xf>
    <xf numFmtId="0" fontId="9" fillId="4" borderId="0" xfId="4" applyFont="1" applyFill="1" applyAlignment="1" applyProtection="1">
      <alignment horizontal="center"/>
      <protection hidden="1"/>
    </xf>
    <xf numFmtId="0" fontId="9" fillId="4" borderId="0" xfId="4" applyFont="1" applyFill="1" applyBorder="1" applyAlignment="1" applyProtection="1">
      <alignment horizontal="center"/>
      <protection hidden="1"/>
    </xf>
    <xf numFmtId="4" fontId="8" fillId="0" borderId="0" xfId="4" applyNumberFormat="1" applyFont="1" applyFill="1" applyProtection="1">
      <protection hidden="1"/>
    </xf>
    <xf numFmtId="0" fontId="8" fillId="0" borderId="0" xfId="4" applyFont="1" applyFill="1" applyProtection="1">
      <protection hidden="1"/>
    </xf>
    <xf numFmtId="4" fontId="8" fillId="0" borderId="0" xfId="4" applyNumberFormat="1" applyFont="1" applyProtection="1">
      <protection hidden="1"/>
    </xf>
    <xf numFmtId="1" fontId="0" fillId="0" borderId="0" xfId="0" applyNumberFormat="1"/>
    <xf numFmtId="0" fontId="9" fillId="4" borderId="3" xfId="4" applyFont="1" applyFill="1" applyBorder="1" applyAlignment="1" applyProtection="1">
      <alignment horizontal="center"/>
      <protection hidden="1"/>
    </xf>
    <xf numFmtId="0" fontId="8" fillId="0" borderId="3" xfId="4" applyFont="1" applyBorder="1" applyProtection="1">
      <protection hidden="1"/>
    </xf>
    <xf numFmtId="0" fontId="8" fillId="0" borderId="3" xfId="4" applyFont="1" applyBorder="1" applyAlignment="1" applyProtection="1">
      <alignment horizontal="center"/>
      <protection hidden="1"/>
    </xf>
    <xf numFmtId="0" fontId="9" fillId="4" borderId="4" xfId="4" applyFont="1" applyFill="1" applyBorder="1" applyAlignment="1" applyProtection="1">
      <alignment horizontal="center"/>
      <protection hidden="1"/>
    </xf>
    <xf numFmtId="0" fontId="8" fillId="0" borderId="4" xfId="4" applyFont="1" applyBorder="1" applyProtection="1">
      <protection hidden="1"/>
    </xf>
    <xf numFmtId="0" fontId="8" fillId="0" borderId="4" xfId="4" applyFont="1" applyBorder="1" applyAlignment="1" applyProtection="1">
      <alignment horizontal="center"/>
      <protection hidden="1"/>
    </xf>
    <xf numFmtId="0" fontId="19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7" fillId="8" borderId="0" xfId="0" applyFont="1" applyFill="1"/>
    <xf numFmtId="0" fontId="7" fillId="0" borderId="0" xfId="0" applyFont="1" applyFill="1"/>
    <xf numFmtId="0" fontId="13" fillId="8" borderId="0" xfId="0" applyFont="1" applyFill="1"/>
    <xf numFmtId="0" fontId="13" fillId="8" borderId="0" xfId="0" applyFont="1" applyFill="1" applyAlignment="1">
      <alignment horizontal="center"/>
    </xf>
    <xf numFmtId="164" fontId="7" fillId="8" borderId="0" xfId="0" applyNumberFormat="1" applyFont="1" applyFill="1"/>
    <xf numFmtId="0" fontId="21" fillId="8" borderId="0" xfId="0" applyFont="1" applyFill="1"/>
    <xf numFmtId="0" fontId="7" fillId="0" borderId="0" xfId="0" applyFont="1" applyFill="1" applyProtection="1">
      <protection locked="0"/>
    </xf>
    <xf numFmtId="164" fontId="7" fillId="0" borderId="0" xfId="0" applyNumberFormat="1" applyFont="1" applyFill="1" applyProtection="1">
      <protection locked="0"/>
    </xf>
    <xf numFmtId="1" fontId="7" fillId="0" borderId="0" xfId="0" applyNumberFormat="1" applyFont="1" applyFill="1" applyProtection="1">
      <protection locked="0"/>
    </xf>
    <xf numFmtId="10" fontId="7" fillId="0" borderId="0" xfId="0" applyNumberFormat="1" applyFont="1" applyFill="1" applyProtection="1">
      <protection locked="0"/>
    </xf>
    <xf numFmtId="164" fontId="7" fillId="0" borderId="0" xfId="0" applyNumberFormat="1" applyFont="1" applyFill="1" applyProtection="1"/>
    <xf numFmtId="164" fontId="7" fillId="8" borderId="0" xfId="0" applyNumberFormat="1" applyFont="1" applyFill="1" applyProtection="1"/>
    <xf numFmtId="10" fontId="7" fillId="8" borderId="0" xfId="0" applyNumberFormat="1" applyFont="1" applyFill="1"/>
    <xf numFmtId="0" fontId="22" fillId="8" borderId="0" xfId="0" applyFont="1" applyFill="1"/>
    <xf numFmtId="0" fontId="22" fillId="0" borderId="0" xfId="0" applyFont="1" applyFill="1"/>
    <xf numFmtId="0" fontId="20" fillId="0" borderId="0" xfId="0" applyFont="1" applyBorder="1" applyAlignment="1">
      <alignment vertical="center"/>
    </xf>
    <xf numFmtId="0" fontId="19" fillId="8" borderId="0" xfId="0" applyFont="1" applyFill="1" applyBorder="1" applyAlignment="1">
      <alignment vertical="center"/>
    </xf>
    <xf numFmtId="0" fontId="20" fillId="8" borderId="0" xfId="0" applyFont="1" applyFill="1" applyBorder="1" applyAlignment="1">
      <alignment vertical="center"/>
    </xf>
    <xf numFmtId="0" fontId="7" fillId="0" borderId="0" xfId="0" applyFont="1"/>
    <xf numFmtId="0" fontId="13" fillId="8" borderId="0" xfId="0" applyFont="1" applyFill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3" fillId="8" borderId="1" xfId="0" applyNumberFormat="1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3" fillId="8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5" borderId="0" xfId="0" applyFont="1" applyFill="1"/>
    <xf numFmtId="0" fontId="24" fillId="5" borderId="0" xfId="0" applyFont="1" applyFill="1"/>
    <xf numFmtId="1" fontId="24" fillId="5" borderId="0" xfId="0" applyNumberFormat="1" applyFont="1" applyFill="1" applyProtection="1">
      <protection locked="0"/>
    </xf>
    <xf numFmtId="164" fontId="24" fillId="5" borderId="0" xfId="0" applyNumberFormat="1" applyFont="1" applyFill="1" applyProtection="1"/>
    <xf numFmtId="0" fontId="7" fillId="8" borderId="0" xfId="0" applyFont="1" applyFill="1" applyBorder="1"/>
    <xf numFmtId="0" fontId="24" fillId="8" borderId="0" xfId="0" applyFont="1" applyFill="1" applyAlignment="1">
      <alignment vertical="center"/>
    </xf>
    <xf numFmtId="0" fontId="13" fillId="2" borderId="4" xfId="0" applyFont="1" applyFill="1" applyBorder="1" applyAlignment="1">
      <alignment horizontal="center"/>
    </xf>
    <xf numFmtId="0" fontId="13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4" fontId="7" fillId="0" borderId="8" xfId="0" applyNumberFormat="1" applyFont="1" applyBorder="1"/>
    <xf numFmtId="164" fontId="7" fillId="0" borderId="6" xfId="0" applyNumberFormat="1" applyFont="1" applyBorder="1"/>
    <xf numFmtId="164" fontId="7" fillId="0" borderId="7" xfId="0" applyNumberFormat="1" applyFont="1" applyBorder="1"/>
    <xf numFmtId="164" fontId="7" fillId="0" borderId="9" xfId="0" applyNumberFormat="1" applyFont="1" applyBorder="1"/>
    <xf numFmtId="164" fontId="7" fillId="0" borderId="8" xfId="0" applyNumberFormat="1" applyFont="1" applyBorder="1"/>
    <xf numFmtId="10" fontId="7" fillId="0" borderId="7" xfId="0" applyNumberFormat="1" applyFont="1" applyBorder="1"/>
    <xf numFmtId="164" fontId="13" fillId="8" borderId="0" xfId="0" applyNumberFormat="1" applyFont="1" applyFill="1"/>
    <xf numFmtId="14" fontId="7" fillId="8" borderId="0" xfId="0" applyNumberFormat="1" applyFont="1" applyFill="1"/>
    <xf numFmtId="0" fontId="20" fillId="8" borderId="0" xfId="0" applyFont="1" applyFill="1" applyBorder="1"/>
    <xf numFmtId="0" fontId="26" fillId="8" borderId="0" xfId="0" applyFont="1" applyFill="1" applyAlignment="1">
      <alignment vertical="center"/>
    </xf>
    <xf numFmtId="0" fontId="13" fillId="3" borderId="5" xfId="0" applyFont="1" applyFill="1" applyBorder="1" applyAlignment="1">
      <alignment horizontal="center" wrapText="1"/>
    </xf>
    <xf numFmtId="164" fontId="13" fillId="0" borderId="12" xfId="0" applyNumberFormat="1" applyFont="1" applyBorder="1"/>
    <xf numFmtId="164" fontId="7" fillId="0" borderId="14" xfId="0" applyNumberFormat="1" applyFont="1" applyBorder="1"/>
    <xf numFmtId="164" fontId="7" fillId="0" borderId="15" xfId="0" applyNumberFormat="1" applyFont="1" applyBorder="1"/>
    <xf numFmtId="0" fontId="26" fillId="8" borderId="0" xfId="0" applyFont="1" applyFill="1" applyAlignment="1">
      <alignment horizontal="left" vertical="center"/>
    </xf>
    <xf numFmtId="0" fontId="24" fillId="8" borderId="0" xfId="0" applyFont="1" applyFill="1" applyAlignment="1">
      <alignment horizontal="left" vertical="center"/>
    </xf>
    <xf numFmtId="164" fontId="7" fillId="0" borderId="16" xfId="0" applyNumberFormat="1" applyFont="1" applyBorder="1"/>
    <xf numFmtId="4" fontId="7" fillId="0" borderId="15" xfId="0" applyNumberFormat="1" applyFont="1" applyBorder="1"/>
    <xf numFmtId="10" fontId="7" fillId="0" borderId="8" xfId="0" applyNumberFormat="1" applyFont="1" applyBorder="1"/>
    <xf numFmtId="10" fontId="7" fillId="0" borderId="17" xfId="0" applyNumberFormat="1" applyFont="1" applyBorder="1"/>
    <xf numFmtId="0" fontId="27" fillId="0" borderId="0" xfId="0" applyFont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wrapText="1"/>
    </xf>
    <xf numFmtId="10" fontId="7" fillId="0" borderId="16" xfId="0" applyNumberFormat="1" applyFont="1" applyBorder="1"/>
    <xf numFmtId="0" fontId="7" fillId="8" borderId="5" xfId="0" applyFont="1" applyFill="1" applyBorder="1"/>
    <xf numFmtId="0" fontId="24" fillId="8" borderId="0" xfId="0" applyFont="1" applyFill="1" applyAlignment="1">
      <alignment horizontal="center" vertical="center"/>
    </xf>
    <xf numFmtId="0" fontId="7" fillId="7" borderId="0" xfId="0" applyFont="1" applyFill="1"/>
    <xf numFmtId="0" fontId="7" fillId="5" borderId="0" xfId="0" applyFont="1" applyFill="1"/>
    <xf numFmtId="166" fontId="7" fillId="7" borderId="0" xfId="0" applyNumberFormat="1" applyFont="1" applyFill="1"/>
    <xf numFmtId="164" fontId="7" fillId="7" borderId="0" xfId="0" applyNumberFormat="1" applyFont="1" applyFill="1"/>
    <xf numFmtId="4" fontId="7" fillId="5" borderId="0" xfId="0" applyNumberFormat="1" applyFont="1" applyFill="1"/>
    <xf numFmtId="4" fontId="24" fillId="5" borderId="0" xfId="0" applyNumberFormat="1" applyFont="1" applyFill="1"/>
    <xf numFmtId="1" fontId="7" fillId="8" borderId="0" xfId="0" applyNumberFormat="1" applyFont="1" applyFill="1"/>
    <xf numFmtId="166" fontId="7" fillId="8" borderId="0" xfId="0" applyNumberFormat="1" applyFont="1" applyFill="1"/>
    <xf numFmtId="0" fontId="27" fillId="8" borderId="0" xfId="0" applyFont="1" applyFill="1"/>
    <xf numFmtId="166" fontId="24" fillId="5" borderId="0" xfId="0" applyNumberFormat="1" applyFont="1" applyFill="1"/>
    <xf numFmtId="164" fontId="24" fillId="5" borderId="0" xfId="0" applyNumberFormat="1" applyFont="1" applyFill="1"/>
    <xf numFmtId="0" fontId="7" fillId="8" borderId="0" xfId="0" applyFont="1" applyFill="1" applyAlignment="1">
      <alignment horizontal="left" vertical="center"/>
    </xf>
    <xf numFmtId="0" fontId="23" fillId="8" borderId="5" xfId="0" applyFont="1" applyFill="1" applyBorder="1" applyAlignment="1">
      <alignment horizontal="center" vertical="center"/>
    </xf>
    <xf numFmtId="164" fontId="7" fillId="8" borderId="0" xfId="0" applyNumberFormat="1" applyFont="1" applyFill="1" applyBorder="1"/>
    <xf numFmtId="0" fontId="13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8" borderId="0" xfId="0" applyFont="1" applyFill="1" applyBorder="1" applyAlignment="1">
      <alignment vertical="center"/>
    </xf>
    <xf numFmtId="0" fontId="19" fillId="6" borderId="0" xfId="0" applyFont="1" applyFill="1" applyBorder="1" applyAlignment="1" applyProtection="1">
      <alignment vertical="center"/>
    </xf>
    <xf numFmtId="0" fontId="20" fillId="6" borderId="0" xfId="0" applyFont="1" applyFill="1" applyBorder="1" applyAlignment="1" applyProtection="1">
      <alignment vertical="center"/>
    </xf>
    <xf numFmtId="0" fontId="7" fillId="8" borderId="0" xfId="0" applyFont="1" applyFill="1" applyBorder="1" applyAlignment="1" applyProtection="1">
      <alignment vertical="center"/>
    </xf>
    <xf numFmtId="0" fontId="7" fillId="8" borderId="0" xfId="0" applyFont="1" applyFill="1" applyAlignment="1" applyProtection="1">
      <alignment vertical="center"/>
    </xf>
    <xf numFmtId="0" fontId="24" fillId="8" borderId="0" xfId="0" applyFont="1" applyFill="1" applyAlignment="1" applyProtection="1">
      <alignment vertical="center"/>
    </xf>
    <xf numFmtId="0" fontId="24" fillId="8" borderId="0" xfId="0" applyFont="1" applyFill="1" applyBorder="1" applyAlignment="1" applyProtection="1">
      <alignment vertical="center"/>
    </xf>
    <xf numFmtId="0" fontId="23" fillId="8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4" fontId="7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10" fontId="7" fillId="0" borderId="0" xfId="0" applyNumberFormat="1" applyFont="1" applyBorder="1" applyAlignment="1" applyProtection="1">
      <alignment vertical="center"/>
    </xf>
    <xf numFmtId="164" fontId="7" fillId="8" borderId="0" xfId="0" applyNumberFormat="1" applyFont="1" applyFill="1" applyBorder="1" applyAlignment="1" applyProtection="1">
      <alignment vertical="center"/>
    </xf>
    <xf numFmtId="164" fontId="13" fillId="8" borderId="0" xfId="0" applyNumberFormat="1" applyFont="1" applyFill="1" applyBorder="1" applyAlignment="1" applyProtection="1">
      <alignment vertical="center"/>
    </xf>
    <xf numFmtId="0" fontId="13" fillId="8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7" fillId="8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 vertical="top" wrapText="1"/>
    </xf>
    <xf numFmtId="164" fontId="7" fillId="8" borderId="0" xfId="0" applyNumberFormat="1" applyFont="1" applyFill="1" applyBorder="1" applyProtection="1">
      <protection locked="0"/>
    </xf>
    <xf numFmtId="166" fontId="7" fillId="0" borderId="15" xfId="0" applyNumberFormat="1" applyFont="1" applyBorder="1" applyAlignment="1">
      <alignment horizontal="center"/>
    </xf>
    <xf numFmtId="166" fontId="7" fillId="0" borderId="23" xfId="0" applyNumberFormat="1" applyFont="1" applyBorder="1" applyAlignment="1">
      <alignment horizontal="center"/>
    </xf>
    <xf numFmtId="164" fontId="7" fillId="0" borderId="24" xfId="0" applyNumberFormat="1" applyFont="1" applyBorder="1"/>
    <xf numFmtId="164" fontId="7" fillId="0" borderId="20" xfId="0" applyNumberFormat="1" applyFont="1" applyBorder="1"/>
    <xf numFmtId="164" fontId="7" fillId="0" borderId="25" xfId="0" applyNumberFormat="1" applyFont="1" applyBorder="1"/>
    <xf numFmtId="164" fontId="13" fillId="0" borderId="26" xfId="0" applyNumberFormat="1" applyFont="1" applyBorder="1"/>
    <xf numFmtId="164" fontId="7" fillId="0" borderId="27" xfId="0" applyNumberFormat="1" applyFont="1" applyBorder="1"/>
    <xf numFmtId="164" fontId="7" fillId="0" borderId="23" xfId="0" applyNumberFormat="1" applyFont="1" applyBorder="1"/>
    <xf numFmtId="0" fontId="13" fillId="2" borderId="5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164" fontId="7" fillId="0" borderId="6" xfId="0" applyNumberFormat="1" applyFont="1" applyBorder="1" applyProtection="1">
      <protection locked="0"/>
    </xf>
    <xf numFmtId="164" fontId="7" fillId="0" borderId="24" xfId="0" applyNumberFormat="1" applyFont="1" applyBorder="1" applyProtection="1">
      <protection locked="0"/>
    </xf>
    <xf numFmtId="164" fontId="7" fillId="0" borderId="9" xfId="0" applyNumberFormat="1" applyFont="1" applyBorder="1" applyProtection="1">
      <protection locked="0"/>
    </xf>
    <xf numFmtId="164" fontId="7" fillId="0" borderId="20" xfId="0" applyNumberFormat="1" applyFont="1" applyBorder="1" applyProtection="1">
      <protection locked="0"/>
    </xf>
    <xf numFmtId="0" fontId="20" fillId="0" borderId="0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7" fillId="8" borderId="5" xfId="0" applyFont="1" applyFill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" fontId="13" fillId="8" borderId="0" xfId="0" applyNumberFormat="1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8" borderId="3" xfId="0" applyFont="1" applyFill="1" applyBorder="1" applyAlignment="1">
      <alignment vertical="center"/>
    </xf>
    <xf numFmtId="0" fontId="7" fillId="8" borderId="22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13" fillId="3" borderId="29" xfId="0" applyFont="1" applyFill="1" applyBorder="1" applyAlignment="1" applyProtection="1">
      <alignment horizontal="center" vertical="center" wrapText="1"/>
    </xf>
    <xf numFmtId="164" fontId="7" fillId="0" borderId="11" xfId="0" applyNumberFormat="1" applyFont="1" applyBorder="1" applyAlignment="1" applyProtection="1">
      <alignment vertical="center"/>
    </xf>
    <xf numFmtId="0" fontId="7" fillId="8" borderId="11" xfId="0" applyFont="1" applyFill="1" applyBorder="1" applyAlignment="1" applyProtection="1">
      <alignment vertical="center"/>
    </xf>
    <xf numFmtId="164" fontId="13" fillId="8" borderId="30" xfId="0" applyNumberFormat="1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horizontal="center" vertical="center"/>
    </xf>
    <xf numFmtId="164" fontId="13" fillId="0" borderId="11" xfId="0" applyNumberFormat="1" applyFont="1" applyBorder="1" applyAlignment="1" applyProtection="1">
      <alignment vertical="center"/>
    </xf>
    <xf numFmtId="0" fontId="13" fillId="2" borderId="11" xfId="0" applyFont="1" applyFill="1" applyBorder="1" applyAlignment="1" applyProtection="1">
      <alignment horizontal="center" vertical="center"/>
    </xf>
    <xf numFmtId="164" fontId="13" fillId="8" borderId="11" xfId="0" applyNumberFormat="1" applyFont="1" applyFill="1" applyBorder="1" applyAlignment="1" applyProtection="1">
      <alignment vertical="center"/>
    </xf>
    <xf numFmtId="166" fontId="13" fillId="0" borderId="5" xfId="0" applyNumberFormat="1" applyFont="1" applyBorder="1" applyAlignment="1" applyProtection="1">
      <alignment horizontal="center" vertical="center"/>
    </xf>
    <xf numFmtId="0" fontId="13" fillId="8" borderId="5" xfId="0" applyFont="1" applyFill="1" applyBorder="1" applyAlignment="1" applyProtection="1">
      <alignment vertical="center"/>
    </xf>
    <xf numFmtId="166" fontId="13" fillId="0" borderId="11" xfId="0" applyNumberFormat="1" applyFont="1" applyBorder="1" applyAlignment="1" applyProtection="1">
      <alignment horizontal="center" vertical="center"/>
    </xf>
    <xf numFmtId="0" fontId="13" fillId="8" borderId="11" xfId="0" applyFont="1" applyFill="1" applyBorder="1" applyAlignment="1" applyProtection="1">
      <alignment vertical="center"/>
    </xf>
    <xf numFmtId="0" fontId="7" fillId="8" borderId="11" xfId="0" applyFont="1" applyFill="1" applyBorder="1"/>
    <xf numFmtId="164" fontId="13" fillId="8" borderId="30" xfId="0" applyNumberFormat="1" applyFont="1" applyFill="1" applyBorder="1"/>
    <xf numFmtId="0" fontId="13" fillId="3" borderId="31" xfId="0" applyFont="1" applyFill="1" applyBorder="1" applyAlignment="1">
      <alignment horizontal="center" vertical="center" wrapText="1"/>
    </xf>
    <xf numFmtId="164" fontId="13" fillId="8" borderId="32" xfId="0" applyNumberFormat="1" applyFont="1" applyFill="1" applyBorder="1"/>
    <xf numFmtId="4" fontId="7" fillId="0" borderId="0" xfId="0" applyNumberFormat="1" applyFont="1" applyBorder="1"/>
    <xf numFmtId="164" fontId="7" fillId="0" borderId="0" xfId="0" applyNumberFormat="1" applyFont="1" applyBorder="1"/>
    <xf numFmtId="164" fontId="7" fillId="0" borderId="0" xfId="0" applyNumberFormat="1" applyFont="1" applyBorder="1" applyProtection="1">
      <protection locked="0"/>
    </xf>
    <xf numFmtId="164" fontId="13" fillId="8" borderId="0" xfId="0" applyNumberFormat="1" applyFont="1" applyFill="1" applyBorder="1"/>
    <xf numFmtId="0" fontId="7" fillId="8" borderId="0" xfId="0" applyFont="1" applyFill="1" applyBorder="1" applyAlignment="1">
      <alignment vertical="center"/>
    </xf>
    <xf numFmtId="0" fontId="5" fillId="8" borderId="0" xfId="0" applyFont="1" applyFill="1"/>
    <xf numFmtId="0" fontId="5" fillId="8" borderId="0" xfId="0" applyFont="1" applyFill="1" applyBorder="1" applyAlignment="1" applyProtection="1">
      <alignment vertical="center"/>
    </xf>
    <xf numFmtId="0" fontId="14" fillId="0" borderId="0" xfId="5" applyFont="1" applyAlignment="1">
      <alignment vertical="center" wrapText="1"/>
    </xf>
    <xf numFmtId="0" fontId="4" fillId="0" borderId="0" xfId="5"/>
    <xf numFmtId="0" fontId="4" fillId="8" borderId="0" xfId="5" applyFill="1"/>
    <xf numFmtId="0" fontId="21" fillId="8" borderId="0" xfId="5" applyFont="1" applyFill="1"/>
    <xf numFmtId="0" fontId="13" fillId="8" borderId="0" xfId="5" applyFont="1" applyFill="1"/>
    <xf numFmtId="0" fontId="4" fillId="8" borderId="0" xfId="5" applyFill="1" applyProtection="1">
      <protection locked="0"/>
    </xf>
    <xf numFmtId="0" fontId="15" fillId="8" borderId="0" xfId="5" applyFont="1" applyFill="1" applyAlignment="1">
      <alignment vertical="center"/>
    </xf>
    <xf numFmtId="0" fontId="4" fillId="8" borderId="0" xfId="5" applyFill="1" applyAlignment="1">
      <alignment vertical="center"/>
    </xf>
    <xf numFmtId="0" fontId="30" fillId="3" borderId="0" xfId="5" applyFont="1" applyFill="1" applyAlignment="1">
      <alignment vertical="center"/>
    </xf>
    <xf numFmtId="0" fontId="31" fillId="3" borderId="0" xfId="5" applyFont="1" applyFill="1" applyAlignment="1">
      <alignment vertical="center"/>
    </xf>
    <xf numFmtId="0" fontId="16" fillId="8" borderId="0" xfId="5" applyFont="1" applyFill="1" applyAlignment="1">
      <alignment vertical="center"/>
    </xf>
    <xf numFmtId="0" fontId="32" fillId="8" borderId="0" xfId="5" applyFont="1" applyFill="1" applyAlignment="1">
      <alignment vertical="center"/>
    </xf>
    <xf numFmtId="0" fontId="17" fillId="8" borderId="0" xfId="5" applyFont="1" applyFill="1" applyAlignment="1">
      <alignment vertical="center"/>
    </xf>
    <xf numFmtId="0" fontId="4" fillId="8" borderId="0" xfId="5" applyFont="1" applyFill="1"/>
    <xf numFmtId="0" fontId="4" fillId="0" borderId="0" xfId="5" applyFont="1"/>
    <xf numFmtId="0" fontId="19" fillId="6" borderId="0" xfId="0" applyFont="1" applyFill="1" applyBorder="1" applyAlignment="1">
      <alignment vertical="center" wrapText="1"/>
    </xf>
    <xf numFmtId="0" fontId="24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5" fillId="0" borderId="0" xfId="0" applyFont="1" applyFill="1"/>
    <xf numFmtId="164" fontId="7" fillId="9" borderId="0" xfId="0" applyNumberFormat="1" applyFont="1" applyFill="1" applyProtection="1">
      <protection locked="0"/>
    </xf>
    <xf numFmtId="0" fontId="7" fillId="9" borderId="0" xfId="0" applyFont="1" applyFill="1" applyProtection="1">
      <protection locked="0"/>
    </xf>
    <xf numFmtId="10" fontId="7" fillId="9" borderId="0" xfId="0" applyNumberFormat="1" applyFont="1" applyFill="1" applyProtection="1">
      <protection locked="0"/>
    </xf>
    <xf numFmtId="14" fontId="23" fillId="9" borderId="0" xfId="0" applyNumberFormat="1" applyFont="1" applyFill="1" applyAlignment="1" applyProtection="1">
      <alignment horizontal="center" vertical="center"/>
      <protection locked="0"/>
    </xf>
    <xf numFmtId="165" fontId="7" fillId="9" borderId="0" xfId="0" applyNumberFormat="1" applyFont="1" applyFill="1" applyProtection="1">
      <protection locked="0"/>
    </xf>
    <xf numFmtId="0" fontId="7" fillId="9" borderId="0" xfId="0" applyFont="1" applyFill="1" applyAlignment="1" applyProtection="1">
      <alignment horizontal="center"/>
      <protection locked="0"/>
    </xf>
    <xf numFmtId="0" fontId="7" fillId="9" borderId="0" xfId="0" applyFont="1" applyFill="1" applyAlignment="1" applyProtection="1">
      <alignment horizontal="right"/>
      <protection locked="0"/>
    </xf>
    <xf numFmtId="4" fontId="7" fillId="9" borderId="0" xfId="0" applyNumberFormat="1" applyFont="1" applyFill="1" applyProtection="1">
      <protection locked="0"/>
    </xf>
    <xf numFmtId="1" fontId="7" fillId="9" borderId="0" xfId="0" applyNumberFormat="1" applyFont="1" applyFill="1" applyProtection="1">
      <protection locked="0"/>
    </xf>
    <xf numFmtId="2" fontId="7" fillId="9" borderId="0" xfId="0" applyNumberFormat="1" applyFont="1" applyFill="1" applyProtection="1">
      <protection locked="0"/>
    </xf>
    <xf numFmtId="0" fontId="24" fillId="0" borderId="0" xfId="0" applyFont="1" applyFill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5"/>
    <xf numFmtId="0" fontId="3" fillId="8" borderId="0" xfId="5" applyFont="1" applyFill="1" applyProtection="1">
      <protection locked="0"/>
    </xf>
    <xf numFmtId="0" fontId="2" fillId="8" borderId="0" xfId="0" applyFont="1" applyFill="1"/>
    <xf numFmtId="0" fontId="2" fillId="8" borderId="0" xfId="0" applyFont="1" applyFill="1" applyBorder="1" applyAlignment="1" applyProtection="1">
      <alignment vertical="center"/>
    </xf>
    <xf numFmtId="0" fontId="19" fillId="6" borderId="0" xfId="0" applyFont="1" applyFill="1" applyBorder="1" applyAlignment="1">
      <alignment vertical="center" wrapText="1"/>
    </xf>
    <xf numFmtId="0" fontId="15" fillId="8" borderId="0" xfId="5" applyFont="1" applyFill="1" applyAlignment="1">
      <alignment vertical="center"/>
    </xf>
    <xf numFmtId="0" fontId="4" fillId="8" borderId="0" xfId="5" applyFill="1" applyAlignment="1">
      <alignment vertical="center"/>
    </xf>
    <xf numFmtId="0" fontId="17" fillId="8" borderId="0" xfId="5" applyFont="1" applyFill="1" applyAlignment="1">
      <alignment vertical="center"/>
    </xf>
    <xf numFmtId="0" fontId="4" fillId="8" borderId="0" xfId="5" applyFill="1" applyAlignment="1"/>
    <xf numFmtId="0" fontId="0" fillId="0" borderId="0" xfId="0" applyAlignment="1"/>
    <xf numFmtId="0" fontId="4" fillId="0" borderId="0" xfId="5" applyAlignment="1">
      <alignment vertical="center"/>
    </xf>
    <xf numFmtId="0" fontId="4" fillId="0" borderId="0" xfId="5"/>
    <xf numFmtId="0" fontId="29" fillId="8" borderId="0" xfId="6" applyFill="1" applyProtection="1">
      <protection locked="0"/>
    </xf>
    <xf numFmtId="0" fontId="29" fillId="0" borderId="0" xfId="6" applyProtection="1">
      <protection locked="0"/>
    </xf>
    <xf numFmtId="0" fontId="4" fillId="8" borderId="0" xfId="5" applyFont="1" applyFill="1" applyAlignment="1">
      <alignment wrapText="1"/>
    </xf>
    <xf numFmtId="0" fontId="28" fillId="0" borderId="0" xfId="0" applyFont="1" applyAlignment="1">
      <alignment wrapText="1"/>
    </xf>
    <xf numFmtId="0" fontId="19" fillId="6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6" fillId="8" borderId="0" xfId="0" applyFont="1" applyFill="1" applyBorder="1" applyAlignment="1" applyProtection="1">
      <alignment horizontal="center" vertical="center"/>
    </xf>
    <xf numFmtId="0" fontId="19" fillId="6" borderId="0" xfId="0" applyFont="1" applyFill="1" applyBorder="1" applyAlignment="1" applyProtection="1">
      <alignment vertical="center" wrapText="1"/>
    </xf>
    <xf numFmtId="0" fontId="26" fillId="8" borderId="0" xfId="0" applyFont="1" applyFill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</xf>
    <xf numFmtId="0" fontId="13" fillId="8" borderId="0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23" fillId="8" borderId="0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3" fillId="8" borderId="22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vertical="center"/>
    </xf>
    <xf numFmtId="0" fontId="7" fillId="8" borderId="3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8" borderId="0" xfId="0" applyFont="1" applyFill="1" applyAlignment="1">
      <alignment horizontal="right"/>
    </xf>
  </cellXfs>
  <cellStyles count="7">
    <cellStyle name="Link 2" xfId="3" xr:uid="{00000000-0005-0000-0000-000000000000}"/>
    <cellStyle name="Link 3" xfId="6" xr:uid="{9ED4B7BE-CBB4-4328-8A94-6D52CC7505E3}"/>
    <cellStyle name="Prozent 2" xfId="2" xr:uid="{00000000-0005-0000-0000-000001000000}"/>
    <cellStyle name="Standard" xfId="0" builtinId="0" customBuiltin="1"/>
    <cellStyle name="Standard 2" xfId="1" xr:uid="{00000000-0005-0000-0000-000003000000}"/>
    <cellStyle name="Standard 3" xfId="5" xr:uid="{EAF12D6D-CB8B-41AB-9164-D0484734C6D2}"/>
    <cellStyle name="Standard_TILANN2" xfId="4" xr:uid="{00000000-0005-0000-0000-000005000000}"/>
  </cellStyles>
  <dxfs count="9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/>
        <right style="medium">
          <color indexed="64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thin">
          <color auto="1"/>
        </left>
        <right/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medium">
          <color indexed="64"/>
        </left>
        <right style="medium">
          <color indexed="64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/>
        <right/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dotted">
          <color auto="1"/>
        </left>
        <right/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dotted">
          <color auto="1"/>
        </left>
        <right/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/>
        <right/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yyyy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thick">
          <color auto="1"/>
        </left>
        <right style="thick">
          <color indexed="64"/>
        </right>
        <bottom style="dotted">
          <color auto="1"/>
        </bottom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top style="dotted">
          <color auto="1"/>
        </top>
      </border>
    </dxf>
    <dxf>
      <border outline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dott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top" textRotation="0" wrapText="1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yyyy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yyyy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EFEF00"/>
      <color rgb="FFFFFF99"/>
      <color rgb="FFFFFF66"/>
      <color rgb="FF948EBE"/>
      <color rgb="FFFFFF00"/>
      <color rgb="FFF2F2F2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Kontostand</c:v>
          </c:tx>
          <c:spPr>
            <a:solidFill>
              <a:srgbClr val="948EBE"/>
            </a:solidFill>
          </c:spPr>
          <c:cat>
            <c:numRef>
              <c:f>Konten!$B$8:$B$38</c:f>
              <c:numCache>
                <c:formatCode>yyyy</c:formatCode>
                <c:ptCount val="31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  <c:pt idx="25">
                  <c:v>53328</c:v>
                </c:pt>
                <c:pt idx="26">
                  <c:v>53693</c:v>
                </c:pt>
                <c:pt idx="27">
                  <c:v>54058</c:v>
                </c:pt>
                <c:pt idx="28">
                  <c:v>54424</c:v>
                </c:pt>
                <c:pt idx="29">
                  <c:v>54789</c:v>
                </c:pt>
                <c:pt idx="30">
                  <c:v>55154</c:v>
                </c:pt>
              </c:numCache>
            </c:numRef>
          </c:cat>
          <c:val>
            <c:numRef>
              <c:f>Konten!$C$8:$C$38</c:f>
              <c:numCache>
                <c:formatCode>#,##0.00</c:formatCode>
                <c:ptCount val="31"/>
                <c:pt idx="0">
                  <c:v>2345.1783192133257</c:v>
                </c:pt>
                <c:pt idx="1">
                  <c:v>2223.1296165476761</c:v>
                </c:pt>
                <c:pt idx="2">
                  <c:v>2101.5348913452681</c:v>
                </c:pt>
                <c:pt idx="3">
                  <c:v>1981.3570595657793</c:v>
                </c:pt>
                <c:pt idx="4">
                  <c:v>1861.557898524331</c:v>
                </c:pt>
                <c:pt idx="5">
                  <c:v>1711.0980292441409</c:v>
                </c:pt>
                <c:pt idx="6">
                  <c:v>1560.936898512768</c:v>
                </c:pt>
                <c:pt idx="7">
                  <c:v>1411.0327606373228</c:v>
                </c:pt>
                <c:pt idx="8">
                  <c:v>1261.3426588939337</c:v>
                </c:pt>
                <c:pt idx="9">
                  <c:v>1112.822406666704</c:v>
                </c:pt>
                <c:pt idx="10">
                  <c:v>-1977.1034997637598</c:v>
                </c:pt>
                <c:pt idx="11">
                  <c:v>-1440.1679142438095</c:v>
                </c:pt>
                <c:pt idx="12">
                  <c:v>-868.06652510877529</c:v>
                </c:pt>
                <c:pt idx="13">
                  <c:v>-259.17311015549706</c:v>
                </c:pt>
                <c:pt idx="14">
                  <c:v>364.52464196327344</c:v>
                </c:pt>
                <c:pt idx="15">
                  <c:v>985.08335748352602</c:v>
                </c:pt>
                <c:pt idx="16">
                  <c:v>1603.4496853150295</c:v>
                </c:pt>
                <c:pt idx="17">
                  <c:v>2218.5688818105773</c:v>
                </c:pt>
                <c:pt idx="18">
                  <c:v>2831.3847888828004</c:v>
                </c:pt>
                <c:pt idx="19">
                  <c:v>3440.8398117584384</c:v>
                </c:pt>
                <c:pt idx="20">
                  <c:v>4004.8748963644148</c:v>
                </c:pt>
                <c:pt idx="21">
                  <c:v>5018.7045194552175</c:v>
                </c:pt>
                <c:pt idx="22">
                  <c:v>6041.0869864171254</c:v>
                </c:pt>
                <c:pt idx="23">
                  <c:v>7071.0812446234886</c:v>
                </c:pt>
                <c:pt idx="24">
                  <c:v>8108.7461396563067</c:v>
                </c:pt>
                <c:pt idx="25">
                  <c:v>9155.1404039932877</c:v>
                </c:pt>
                <c:pt idx="26">
                  <c:v>10209.32264542809</c:v>
                </c:pt>
                <c:pt idx="27">
                  <c:v>11271.351335218775</c:v>
                </c:pt>
                <c:pt idx="28">
                  <c:v>12342.284795959416</c:v>
                </c:pt>
                <c:pt idx="29">
                  <c:v>13421.181189169751</c:v>
                </c:pt>
                <c:pt idx="30">
                  <c:v>14508.098502597619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7-4B16-B947-9C3CE41D5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65152"/>
        <c:axId val="119266688"/>
      </c:areaChart>
      <c:dateAx>
        <c:axId val="11926515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119266688"/>
        <c:crosses val="autoZero"/>
        <c:auto val="1"/>
        <c:lblOffset val="100"/>
        <c:baseTimeUnit val="years"/>
      </c:dateAx>
      <c:valAx>
        <c:axId val="11926668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9265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Darlehensvaluta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Darlehen I</c:v>
          </c:tx>
          <c:marker>
            <c:symbol val="none"/>
          </c:marker>
          <c:cat>
            <c:numRef>
              <c:f>Konten!$B$45:$B$75</c:f>
              <c:numCache>
                <c:formatCode>yyyy</c:formatCode>
                <c:ptCount val="31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  <c:pt idx="25">
                  <c:v>53328</c:v>
                </c:pt>
                <c:pt idx="26">
                  <c:v>53693</c:v>
                </c:pt>
                <c:pt idx="27">
                  <c:v>54058</c:v>
                </c:pt>
                <c:pt idx="28">
                  <c:v>54424</c:v>
                </c:pt>
                <c:pt idx="29">
                  <c:v>54789</c:v>
                </c:pt>
                <c:pt idx="30">
                  <c:v>55154</c:v>
                </c:pt>
              </c:numCache>
            </c:numRef>
          </c:cat>
          <c:val>
            <c:numRef>
              <c:f>Konten!$F$45:$F$75</c:f>
              <c:numCache>
                <c:formatCode>#,##0.00</c:formatCode>
                <c:ptCount val="31"/>
                <c:pt idx="0">
                  <c:v>3279.8126589421477</c:v>
                </c:pt>
                <c:pt idx="1">
                  <c:v>2956.9416084149102</c:v>
                </c:pt>
                <c:pt idx="2">
                  <c:v>2627.5536137645713</c:v>
                </c:pt>
                <c:pt idx="3">
                  <c:v>2291.5171346729931</c:v>
                </c:pt>
                <c:pt idx="4">
                  <c:v>1948.6979757654713</c:v>
                </c:pt>
                <c:pt idx="5">
                  <c:v>1598.9592330201269</c:v>
                </c:pt>
                <c:pt idx="6">
                  <c:v>1242.1612390956095</c:v>
                </c:pt>
                <c:pt idx="7">
                  <c:v>878.16150755527349</c:v>
                </c:pt>
                <c:pt idx="8">
                  <c:v>506.81467596555632</c:v>
                </c:pt>
                <c:pt idx="9">
                  <c:v>127.9724478458337</c:v>
                </c:pt>
                <c:pt idx="10">
                  <c:v>-6.2527760746888816E-13</c:v>
                </c:pt>
                <c:pt idx="11">
                  <c:v>-6.2527760746888816E-13</c:v>
                </c:pt>
                <c:pt idx="12">
                  <c:v>-6.2527760746888816E-13</c:v>
                </c:pt>
                <c:pt idx="13">
                  <c:v>-6.2527760746888816E-13</c:v>
                </c:pt>
                <c:pt idx="14">
                  <c:v>-6.2527760746888816E-13</c:v>
                </c:pt>
                <c:pt idx="15">
                  <c:v>-6.2527760746888816E-13</c:v>
                </c:pt>
                <c:pt idx="16">
                  <c:v>-6.2527760746888816E-13</c:v>
                </c:pt>
                <c:pt idx="17">
                  <c:v>-6.2527760746888816E-13</c:v>
                </c:pt>
                <c:pt idx="18">
                  <c:v>-6.2527760746888816E-13</c:v>
                </c:pt>
                <c:pt idx="19">
                  <c:v>-6.2527760746888816E-13</c:v>
                </c:pt>
                <c:pt idx="20">
                  <c:v>-6.2527760746888816E-13</c:v>
                </c:pt>
                <c:pt idx="21">
                  <c:v>-6.2527760746888816E-13</c:v>
                </c:pt>
                <c:pt idx="22">
                  <c:v>-6.2527760746888816E-13</c:v>
                </c:pt>
                <c:pt idx="23">
                  <c:v>-6.2527760746888816E-13</c:v>
                </c:pt>
                <c:pt idx="24">
                  <c:v>-6.2527760746888816E-13</c:v>
                </c:pt>
                <c:pt idx="25">
                  <c:v>-6.2527760746888816E-13</c:v>
                </c:pt>
                <c:pt idx="26">
                  <c:v>-6.2527760746888816E-13</c:v>
                </c:pt>
                <c:pt idx="27">
                  <c:v>-6.2527760746888816E-13</c:v>
                </c:pt>
                <c:pt idx="28">
                  <c:v>-6.2527760746888816E-13</c:v>
                </c:pt>
                <c:pt idx="29">
                  <c:v>-6.2527760746888816E-13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3-4FFB-A987-E0F9E8923194}"/>
            </c:ext>
          </c:extLst>
        </c:ser>
        <c:ser>
          <c:idx val="1"/>
          <c:order val="1"/>
          <c:tx>
            <c:v>Darlehen II</c:v>
          </c:tx>
          <c:marker>
            <c:symbol val="none"/>
          </c:marker>
          <c:val>
            <c:numRef>
              <c:f>Konten!$J$45:$J$75</c:f>
              <c:numCache>
                <c:formatCode>#,##0.00</c:formatCode>
                <c:ptCount val="31"/>
                <c:pt idx="0">
                  <c:v>3274.5263157894738</c:v>
                </c:pt>
                <c:pt idx="1">
                  <c:v>2923.6842105263158</c:v>
                </c:pt>
                <c:pt idx="2">
                  <c:v>2572.8421052631579</c:v>
                </c:pt>
                <c:pt idx="3">
                  <c:v>2222</c:v>
                </c:pt>
                <c:pt idx="4">
                  <c:v>1871.1578947368421</c:v>
                </c:pt>
                <c:pt idx="5">
                  <c:v>1520.3157894736842</c:v>
                </c:pt>
                <c:pt idx="6">
                  <c:v>1169.4736842105262</c:v>
                </c:pt>
                <c:pt idx="7">
                  <c:v>818.63157894736833</c:v>
                </c:pt>
                <c:pt idx="8">
                  <c:v>467.78947368421046</c:v>
                </c:pt>
                <c:pt idx="9">
                  <c:v>116.94736842105266</c:v>
                </c:pt>
                <c:pt idx="10">
                  <c:v>2.8421709430404007E-14</c:v>
                </c:pt>
                <c:pt idx="11">
                  <c:v>2.8421709430404007E-14</c:v>
                </c:pt>
                <c:pt idx="12">
                  <c:v>2.8421709430404007E-14</c:v>
                </c:pt>
                <c:pt idx="13">
                  <c:v>2.8421709430404007E-14</c:v>
                </c:pt>
                <c:pt idx="14">
                  <c:v>2.8421709430404007E-14</c:v>
                </c:pt>
                <c:pt idx="15">
                  <c:v>2.8421709430404007E-14</c:v>
                </c:pt>
                <c:pt idx="16">
                  <c:v>2.8421709430404007E-14</c:v>
                </c:pt>
                <c:pt idx="17">
                  <c:v>2.8421709430404007E-14</c:v>
                </c:pt>
                <c:pt idx="18">
                  <c:v>2.8421709430404007E-14</c:v>
                </c:pt>
                <c:pt idx="19">
                  <c:v>2.8421709430404007E-14</c:v>
                </c:pt>
                <c:pt idx="20">
                  <c:v>2.8421709430404007E-14</c:v>
                </c:pt>
                <c:pt idx="21">
                  <c:v>2.8421709430404007E-14</c:v>
                </c:pt>
                <c:pt idx="22">
                  <c:v>2.8421709430404007E-14</c:v>
                </c:pt>
                <c:pt idx="23">
                  <c:v>2.8421709430404007E-14</c:v>
                </c:pt>
                <c:pt idx="24">
                  <c:v>2.8421709430404007E-14</c:v>
                </c:pt>
                <c:pt idx="25">
                  <c:v>2.8421709430404007E-14</c:v>
                </c:pt>
                <c:pt idx="26">
                  <c:v>2.8421709430404007E-14</c:v>
                </c:pt>
                <c:pt idx="27">
                  <c:v>2.8421709430404007E-14</c:v>
                </c:pt>
                <c:pt idx="28">
                  <c:v>2.8421709430404007E-14</c:v>
                </c:pt>
                <c:pt idx="29">
                  <c:v>2.8421709430404007E-14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53-4FFB-A987-E0F9E8923194}"/>
            </c:ext>
          </c:extLst>
        </c:ser>
        <c:ser>
          <c:idx val="2"/>
          <c:order val="2"/>
          <c:tx>
            <c:v>Darlehen III</c:v>
          </c:tx>
          <c:marker>
            <c:symbol val="none"/>
          </c:marker>
          <c:val>
            <c:numRef>
              <c:f>Konten!$N$45:$N$75</c:f>
              <c:numCache>
                <c:formatCode>#,##0.00</c:formatCode>
                <c:ptCount val="31"/>
                <c:pt idx="0">
                  <c:v>3333</c:v>
                </c:pt>
                <c:pt idx="1">
                  <c:v>3333</c:v>
                </c:pt>
                <c:pt idx="2">
                  <c:v>3333</c:v>
                </c:pt>
                <c:pt idx="3">
                  <c:v>3333</c:v>
                </c:pt>
                <c:pt idx="4">
                  <c:v>3333</c:v>
                </c:pt>
                <c:pt idx="5">
                  <c:v>3333</c:v>
                </c:pt>
                <c:pt idx="6">
                  <c:v>3333</c:v>
                </c:pt>
                <c:pt idx="7">
                  <c:v>3333</c:v>
                </c:pt>
                <c:pt idx="8">
                  <c:v>3333</c:v>
                </c:pt>
                <c:pt idx="9">
                  <c:v>3333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53-4FFB-A987-E0F9E8923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866560"/>
        <c:axId val="126868096"/>
      </c:lineChart>
      <c:dateAx>
        <c:axId val="12686656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126868096"/>
        <c:crosses val="autoZero"/>
        <c:auto val="1"/>
        <c:lblOffset val="100"/>
        <c:baseTimeUnit val="years"/>
      </c:dateAx>
      <c:valAx>
        <c:axId val="12686809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2686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504826</xdr:colOff>
      <xdr:row>0</xdr:row>
      <xdr:rowOff>47625</xdr:rowOff>
    </xdr:from>
    <xdr:to>
      <xdr:col>6</xdr:col>
      <xdr:colOff>679076</xdr:colOff>
      <xdr:row>0</xdr:row>
      <xdr:rowOff>369594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E97851E-2560-4492-8D07-CE082240E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1" y="47625"/>
          <a:ext cx="1698250" cy="321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485774</xdr:colOff>
      <xdr:row>0</xdr:row>
      <xdr:rowOff>57151</xdr:rowOff>
    </xdr:from>
    <xdr:to>
      <xdr:col>6</xdr:col>
      <xdr:colOff>962024</xdr:colOff>
      <xdr:row>0</xdr:row>
      <xdr:rowOff>337517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77CF197-8C77-4488-AF7F-66A441195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5449" y="57151"/>
          <a:ext cx="1476375" cy="2803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0</xdr:row>
      <xdr:rowOff>66675</xdr:rowOff>
    </xdr:from>
    <xdr:to>
      <xdr:col>5</xdr:col>
      <xdr:colOff>809625</xdr:colOff>
      <xdr:row>0</xdr:row>
      <xdr:rowOff>347041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1E4D3BD-8771-4009-8A70-619A6BC30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5675" y="66675"/>
          <a:ext cx="1476375" cy="2803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511968</xdr:colOff>
      <xdr:row>0</xdr:row>
      <xdr:rowOff>47625</xdr:rowOff>
    </xdr:from>
    <xdr:to>
      <xdr:col>20</xdr:col>
      <xdr:colOff>916780</xdr:colOff>
      <xdr:row>0</xdr:row>
      <xdr:rowOff>327991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BFED149-225A-4668-B7C9-0C5119FFE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40374" y="47625"/>
          <a:ext cx="1476375" cy="280366"/>
        </a:xfrm>
        <a:prstGeom prst="rect">
          <a:avLst/>
        </a:prstGeom>
      </xdr:spPr>
    </xdr:pic>
    <xdr:clientData/>
  </xdr:twoCellAnchor>
  <xdr:twoCellAnchor editAs="oneCell">
    <xdr:from>
      <xdr:col>49</xdr:col>
      <xdr:colOff>440532</xdr:colOff>
      <xdr:row>0</xdr:row>
      <xdr:rowOff>59532</xdr:rowOff>
    </xdr:from>
    <xdr:to>
      <xdr:col>50</xdr:col>
      <xdr:colOff>833438</xdr:colOff>
      <xdr:row>0</xdr:row>
      <xdr:rowOff>339898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F25E13B-1EBB-447E-BB00-EC5F3A636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26282" y="59532"/>
          <a:ext cx="1476375" cy="2803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0</xdr:row>
      <xdr:rowOff>47625</xdr:rowOff>
    </xdr:from>
    <xdr:to>
      <xdr:col>6</xdr:col>
      <xdr:colOff>1076325</xdr:colOff>
      <xdr:row>0</xdr:row>
      <xdr:rowOff>327991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6261183-0812-4621-B895-2365E1B2B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47625"/>
          <a:ext cx="1476375" cy="2803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792957</xdr:colOff>
      <xdr:row>0</xdr:row>
      <xdr:rowOff>71437</xdr:rowOff>
    </xdr:from>
    <xdr:to>
      <xdr:col>25</xdr:col>
      <xdr:colOff>1078707</xdr:colOff>
      <xdr:row>0</xdr:row>
      <xdr:rowOff>351803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6B1DCA6-7BCD-4B04-BFDE-A74351734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23957" y="71437"/>
          <a:ext cx="1476375" cy="2803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678655</xdr:colOff>
      <xdr:row>0</xdr:row>
      <xdr:rowOff>47625</xdr:rowOff>
    </xdr:from>
    <xdr:to>
      <xdr:col>16</xdr:col>
      <xdr:colOff>1083468</xdr:colOff>
      <xdr:row>0</xdr:row>
      <xdr:rowOff>327991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E4646C4-5211-4A9A-8581-6734C7151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99" y="47625"/>
          <a:ext cx="1476375" cy="2803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0</xdr:row>
      <xdr:rowOff>66675</xdr:rowOff>
    </xdr:from>
    <xdr:to>
      <xdr:col>9</xdr:col>
      <xdr:colOff>771525</xdr:colOff>
      <xdr:row>0</xdr:row>
      <xdr:rowOff>347041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5234B76-433A-4D98-8DD3-783698F67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4575" y="66675"/>
          <a:ext cx="1476375" cy="2803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500062</xdr:colOff>
      <xdr:row>6</xdr:row>
      <xdr:rowOff>11906</xdr:rowOff>
    </xdr:from>
    <xdr:to>
      <xdr:col>13</xdr:col>
      <xdr:colOff>583407</xdr:colOff>
      <xdr:row>25</xdr:row>
      <xdr:rowOff>107156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69055</xdr:colOff>
      <xdr:row>77</xdr:row>
      <xdr:rowOff>154781</xdr:rowOff>
    </xdr:from>
    <xdr:to>
      <xdr:col>13</xdr:col>
      <xdr:colOff>607218</xdr:colOff>
      <xdr:row>101</xdr:row>
      <xdr:rowOff>226218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130969</xdr:colOff>
      <xdr:row>0</xdr:row>
      <xdr:rowOff>95251</xdr:rowOff>
    </xdr:from>
    <xdr:to>
      <xdr:col>13</xdr:col>
      <xdr:colOff>773906</xdr:colOff>
      <xdr:row>0</xdr:row>
      <xdr:rowOff>375617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6EB68A8-8CE6-4742-A101-B619FCE0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72625" y="95251"/>
          <a:ext cx="1476375" cy="2803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bfshe3\Home\PROGRAMM_Praxis\Arbeitshilfen\AH_Stein\Datei\&#220;berbr&#252;ckungshilfe_3\Lockdown_2020\final\&#220;berbr&#252;ckungshilfe_3_2021_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chsen\Documents\Verlage\BBB\2016\Kalkulation%20Gastronomie\Kalkulation-Gastronomie-BBB-Erichs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n"/>
      <sheetName val="Version_Kennwort"/>
      <sheetName val="Stammdaten"/>
      <sheetName val="Antrag und Erstattungsatz "/>
      <sheetName val="Kosten und Förderung"/>
      <sheetName val="Günstigerprüfung_Solo"/>
      <sheetName val="Zusammenfassung"/>
      <sheetName val="Rechtliche Grundlagen"/>
    </sheetNames>
    <sheetDataSet>
      <sheetData sheetId="0">
        <row r="21">
          <cell r="A21" t="str">
            <v>Die Förderung nach tatsächlichen Kosten ist günstiger.</v>
          </cell>
        </row>
        <row r="22">
          <cell r="A22" t="str">
            <v>Die Förderung durch die Betriebskostenpauschale für Soloselbständige ist günstiger.</v>
          </cell>
        </row>
      </sheetData>
      <sheetData sheetId="1"/>
      <sheetData sheetId="2">
        <row r="9">
          <cell r="C9">
            <v>43466</v>
          </cell>
        </row>
        <row r="10">
          <cell r="C10" t="str">
            <v>Ja</v>
          </cell>
        </row>
      </sheetData>
      <sheetData sheetId="3">
        <row r="9">
          <cell r="C9">
            <v>0.50000049999950003</v>
          </cell>
          <cell r="D9">
            <v>0.50000049999950003</v>
          </cell>
          <cell r="E9">
            <v>1</v>
          </cell>
          <cell r="F9">
            <v>1</v>
          </cell>
          <cell r="G9">
            <v>1</v>
          </cell>
          <cell r="H9">
            <v>-0.999980000199998</v>
          </cell>
          <cell r="I9">
            <v>0.78571459183629744</v>
          </cell>
          <cell r="J9">
            <v>0.78571459183629744</v>
          </cell>
        </row>
        <row r="13">
          <cell r="C13">
            <v>0.6</v>
          </cell>
          <cell r="D13">
            <v>0.6</v>
          </cell>
          <cell r="E13">
            <v>0.9</v>
          </cell>
          <cell r="F13">
            <v>0.9</v>
          </cell>
          <cell r="G13">
            <v>0.9</v>
          </cell>
          <cell r="H13">
            <v>0</v>
          </cell>
          <cell r="I13">
            <v>0.9</v>
          </cell>
          <cell r="J13">
            <v>0.9</v>
          </cell>
        </row>
      </sheetData>
      <sheetData sheetId="4">
        <row r="9">
          <cell r="D9">
            <v>400</v>
          </cell>
          <cell r="E9">
            <v>200</v>
          </cell>
          <cell r="F9">
            <v>400</v>
          </cell>
          <cell r="G9">
            <v>400</v>
          </cell>
          <cell r="H9">
            <v>400</v>
          </cell>
          <cell r="I9">
            <v>400</v>
          </cell>
          <cell r="J9">
            <v>400</v>
          </cell>
          <cell r="K9">
            <v>400</v>
          </cell>
        </row>
        <row r="33">
          <cell r="D33">
            <v>9051.4285714285706</v>
          </cell>
          <cell r="E33">
            <v>4297.1428571428569</v>
          </cell>
          <cell r="F33">
            <v>600</v>
          </cell>
          <cell r="G33">
            <v>9171.4285714285706</v>
          </cell>
          <cell r="H33">
            <v>600</v>
          </cell>
          <cell r="I33">
            <v>600</v>
          </cell>
          <cell r="J33">
            <v>600</v>
          </cell>
          <cell r="K33">
            <v>500</v>
          </cell>
        </row>
        <row r="35">
          <cell r="D35">
            <v>5430.8571428571422</v>
          </cell>
          <cell r="E35">
            <v>2578.2857142857142</v>
          </cell>
          <cell r="F35">
            <v>540</v>
          </cell>
          <cell r="G35">
            <v>8254.2857142857138</v>
          </cell>
          <cell r="H35">
            <v>540</v>
          </cell>
          <cell r="I35">
            <v>0</v>
          </cell>
          <cell r="J35">
            <v>540</v>
          </cell>
          <cell r="K35">
            <v>450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Basisdaten"/>
      <sheetName val="Kalkulation mit Zuschlag"/>
      <sheetName val="Kalkulation mit Arbeitszeit"/>
      <sheetName val="Hinweise"/>
    </sheetNames>
    <sheetDataSet>
      <sheetData sheetId="0"/>
      <sheetData sheetId="1"/>
      <sheetData sheetId="2">
        <row r="19">
          <cell r="B19">
            <v>0.82908163265306123</v>
          </cell>
        </row>
        <row r="21">
          <cell r="B21">
            <v>0.15</v>
          </cell>
        </row>
        <row r="23">
          <cell r="B23">
            <v>0.19</v>
          </cell>
        </row>
        <row r="34">
          <cell r="B34">
            <v>0.82908163265306123</v>
          </cell>
        </row>
        <row r="36">
          <cell r="B36">
            <v>0.15</v>
          </cell>
        </row>
        <row r="38">
          <cell r="B38">
            <v>0.19</v>
          </cell>
        </row>
      </sheetData>
      <sheetData sheetId="3">
        <row r="24">
          <cell r="B24">
            <v>43.871429850479004</v>
          </cell>
        </row>
        <row r="43">
          <cell r="B43">
            <v>43.871429850479004</v>
          </cell>
        </row>
      </sheetData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6:AY39" totalsRowShown="0" headerRowDxfId="91" dataDxfId="90">
  <autoFilter ref="A6:AY39" xr:uid="{00000000-0009-0000-0100-000001000000}"/>
  <tableColumns count="51">
    <tableColumn id="1" xr3:uid="{00000000-0010-0000-0000-000001000000}" name="Jahr" dataDxfId="89"/>
    <tableColumn id="2" xr3:uid="{00000000-0010-0000-0000-000002000000}" name="Sonnen-einstrahlung in kWh/a" dataDxfId="88"/>
    <tableColumn id="3" xr3:uid="{00000000-0010-0000-0000-000003000000}" name="Umsatz-_x000a_erlöse" dataDxfId="87"/>
    <tableColumn id="4" xr3:uid="{00000000-0010-0000-0000-000004000000}" name="Einspeisevergütung nach Ablauf der Förderdauer" dataDxfId="86"/>
    <tableColumn id="5" xr3:uid="{00000000-0010-0000-0000-000005000000}" name="durchschnittlicher Verbrauchspreis" dataDxfId="85"/>
    <tableColumn id="6" xr3:uid="{00000000-0010-0000-0000-000006000000}" name="Entnahme _x000a_(Eigen-_x000a_verbrauch)" dataDxfId="84"/>
    <tableColumn id="7" xr3:uid="{00000000-0010-0000-0000-000007000000}" name="USt auf Entnahme" dataDxfId="83"/>
    <tableColumn id="8" xr3:uid="{00000000-0010-0000-0000-000008000000}" name="Betriebliche Erlöse" dataDxfId="82"/>
    <tableColumn id="9" xr3:uid="{00000000-0010-0000-0000-000009000000}" name="Wartung und Reparatur" dataDxfId="81"/>
    <tableColumn id="10" xr3:uid="{00000000-0010-0000-0000-00000A000000}" name="Versicherungen" dataDxfId="80"/>
    <tableColumn id="11" xr3:uid="{00000000-0010-0000-0000-00000B000000}" name="Zählermiete " dataDxfId="79"/>
    <tableColumn id="12" xr3:uid="{00000000-0010-0000-0000-00000C000000}" name="Verwaltungs-_x000a_kosten" dataDxfId="78"/>
    <tableColumn id="13" xr3:uid="{00000000-0010-0000-0000-00000D000000}" name="sonstige _x000a_Kosten" dataDxfId="77"/>
    <tableColumn id="14" xr3:uid="{00000000-0010-0000-0000-00000E000000}" name="Absetzung für Abnutzung" dataDxfId="76"/>
    <tableColumn id="15" xr3:uid="{00000000-0010-0000-0000-00000F000000}" name="Sonder-_x000a_abschreibung" dataDxfId="75"/>
    <tableColumn id="16" xr3:uid="{00000000-0010-0000-0000-000010000000}" name="Anschaffungs-_x000a_kosten-minderung iSd. _x000a_§ 7g EStG" dataDxfId="74"/>
    <tableColumn id="17" xr3:uid="{00000000-0010-0000-0000-000011000000}" name="Investitions-abzugsbetrag" dataDxfId="73"/>
    <tableColumn id="18" xr3:uid="{00000000-0010-0000-0000-000012000000}" name="USt _x000a_Entnahme" dataDxfId="72"/>
    <tableColumn id="19" xr3:uid="{00000000-0010-0000-0000-000013000000}" name="Zinsaufwand" dataDxfId="71"/>
    <tableColumn id="20" xr3:uid="{00000000-0010-0000-0000-000014000000}" name="Kontokorrent-_x000a_zinsen" dataDxfId="70"/>
    <tableColumn id="21" xr3:uid="{00000000-0010-0000-0000-000015000000}" name="Gewinn _x000a_oder Verlust" dataDxfId="69"/>
    <tableColumn id="22" xr3:uid="{00000000-0010-0000-0000-000016000000}" name="Jahr2" dataDxfId="68"/>
    <tableColumn id="23" xr3:uid="{00000000-0010-0000-0000-000017000000}" name="zvE ohne Ergebnis der Fotovolatik-Anlage" dataDxfId="67"/>
    <tableColumn id="24" xr3:uid="{00000000-0010-0000-0000-000018000000}" name="zvE inkl. Ergebnis der Fotovoltaik-Anlage" dataDxfId="66"/>
    <tableColumn id="25" xr3:uid="{00000000-0010-0000-0000-000019000000}" name="einkommen-steuerliche Belastung/     Entlastung  *" dataDxfId="65"/>
    <tableColumn id="26" xr3:uid="{00000000-0010-0000-0000-00001A000000}" name="Einzel-veranlagung" dataDxfId="64"/>
    <tableColumn id="27" xr3:uid="{00000000-0010-0000-0000-00001B000000}" name="Zusammen-veranlagung" dataDxfId="63"/>
    <tableColumn id="28" xr3:uid="{00000000-0010-0000-0000-00001C000000}" name="Solidaritätszuschlag Belastung/ Entlastung" dataDxfId="62"/>
    <tableColumn id="29" xr3:uid="{00000000-0010-0000-0000-00001D000000}" name="Einzel-veranlagung ohne Anlage" dataDxfId="61"/>
    <tableColumn id="30" xr3:uid="{00000000-0010-0000-0000-00001E000000}" name="Solidaritätszuschlag " dataDxfId="60"/>
    <tableColumn id="31" xr3:uid="{00000000-0010-0000-0000-00001F000000}" name="Einzelveranlagung mit Anlage" dataDxfId="59"/>
    <tableColumn id="32" xr3:uid="{00000000-0010-0000-0000-000020000000}" name="Steuerermäßigung  § 35 EStG" dataDxfId="58"/>
    <tableColumn id="33" xr3:uid="{00000000-0010-0000-0000-000021000000}" name="Solidaritätszuschlag" dataDxfId="57"/>
    <tableColumn id="34" xr3:uid="{00000000-0010-0000-0000-000022000000}" name="Zusammen-veranlagung ohne Anlage" dataDxfId="56"/>
    <tableColumn id="35" xr3:uid="{00000000-0010-0000-0000-000023000000}" name="Solidaritäts-zuschlag3" dataDxfId="55"/>
    <tableColumn id="36" xr3:uid="{00000000-0010-0000-0000-000024000000}" name="Zusammen-veranlagung mit Anlage" dataDxfId="54"/>
    <tableColumn id="37" xr3:uid="{00000000-0010-0000-0000-000025000000}" name="Steuer-ermäßigung  § 35 EStG" dataDxfId="53"/>
    <tableColumn id="38" xr3:uid="{00000000-0010-0000-0000-000026000000}" name="Solidaritäts-zuschlag5" dataDxfId="52"/>
    <tableColumn id="39" xr3:uid="{00000000-0010-0000-0000-000027000000}" name="einkommensteuerliche Belastung/Entlastung gesamt" dataDxfId="51"/>
    <tableColumn id="40" xr3:uid="{00000000-0010-0000-0000-000028000000}" name="Jahr6" dataDxfId="50"/>
    <tableColumn id="41" xr3:uid="{00000000-0010-0000-0000-000029000000}" name="Steuerlicher _x000a_Gewinn iSd EStG **" dataDxfId="49"/>
    <tableColumn id="42" xr3:uid="{00000000-0010-0000-0000-00002A000000}" name="Hinzurechnungen _x000a_§ 8 GewStG" dataDxfId="48"/>
    <tableColumn id="43" xr3:uid="{00000000-0010-0000-0000-00002B000000}" name="Gewerbe-_x000a_ertrag " dataDxfId="47"/>
    <tableColumn id="44" xr3:uid="{00000000-0010-0000-0000-00002C000000}" name="Verlust-_x000a_vortrag" dataDxfId="46"/>
    <tableColumn id="45" xr3:uid="{00000000-0010-0000-0000-00002D000000}" name="Verlust-_x000a_abzug" dataDxfId="45"/>
    <tableColumn id="46" xr3:uid="{00000000-0010-0000-0000-00002E000000}" name="Gewerbe-_x000a_ertrag nach Verlustabzug" dataDxfId="44"/>
    <tableColumn id="47" xr3:uid="{00000000-0010-0000-0000-00002F000000}" name="Freibetrag" dataDxfId="43"/>
    <tableColumn id="48" xr3:uid="{00000000-0010-0000-0000-000030000000}" name="Steuer-_x000a_pflichtiger Gewerbeertrag" dataDxfId="42"/>
    <tableColumn id="49" xr3:uid="{00000000-0010-0000-0000-000031000000}" name="Gewerbe-_x000a_steuermess-_x000a_betrag" dataDxfId="41"/>
    <tableColumn id="50" xr3:uid="{00000000-0010-0000-0000-000032000000}" name="Hebesatz" dataDxfId="40"/>
    <tableColumn id="51" xr3:uid="{00000000-0010-0000-0000-000033000000}" name="Gewerbe-_x000a_steuer" dataDxfId="39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e3" displayName="Tabelle3" ref="B13:G34" totalsRowShown="0" headerRowDxfId="38" dataDxfId="36" headerRowBorderDxfId="37" tableBorderDxfId="35" totalsRowBorderDxfId="34">
  <autoFilter ref="B13:G34" xr:uid="{00000000-0009-0000-0100-000003000000}"/>
  <tableColumns count="6">
    <tableColumn id="1" xr3:uid="{00000000-0010-0000-0100-000001000000}" name="Jahr " dataDxfId="33">
      <calculatedColumnFormula>IF(B13="","",B13+1)</calculatedColumnFormula>
    </tableColumn>
    <tableColumn id="2" xr3:uid="{00000000-0010-0000-0100-000002000000}" name="Restwert 01.01." dataDxfId="32">
      <calculatedColumnFormula>G13</calculatedColumnFormula>
    </tableColumn>
    <tableColumn id="3" xr3:uid="{00000000-0010-0000-0100-000003000000}" name="AfA" dataDxfId="31">
      <calculatedColumnFormula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Abnutzung'!C14,'Absetzung für Abnutzung'!$C$19/('Absetzung für Abnutzung'!$J$9-'Absetzung für Abnutzung'!$J$8-'Absetzung für Abnutzung'!$J$15-'Absetzung für Abnutzung'!$J$16-'Absetzung für Abnutzung'!$J$17-'Absetzung für Abnutzung'!$J$18)*12,C14),IF(($E$6-$E$7)*$E$10&lt;=C14,($E$6-$E$7)*$E$10,C14))</calculatedColumnFormula>
    </tableColumn>
    <tableColumn id="4" xr3:uid="{00000000-0010-0000-0100-000004000000}" name="Sonderab-schreibung" dataDxfId="30"/>
    <tableColumn id="5" xr3:uid="{00000000-0010-0000-0100-000005000000}" name="kumulierte AfA" dataDxfId="29">
      <calculatedColumnFormula>SUM($D$14:D14)+SUM($E$14:E14)</calculatedColumnFormula>
    </tableColumn>
    <tableColumn id="6" xr3:uid="{00000000-0010-0000-0100-000006000000}" name="Restwert 31.12." dataDxfId="28">
      <calculatedColumnFormula>C14-D14-E14</calculatedColumnFormula>
    </tableColumn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e4" displayName="Tabelle4" ref="A6:Z38" totalsRowShown="0" headerRowDxfId="27" tableBorderDxfId="26">
  <autoFilter ref="A6:Z38" xr:uid="{00000000-0009-0000-0100-000004000000}"/>
  <tableColumns count="26">
    <tableColumn id="1" xr3:uid="{00000000-0010-0000-0200-000001000000}" name="Jahr" dataDxfId="25">
      <calculatedColumnFormula>EDATE(A6,12)</calculatedColumnFormula>
    </tableColumn>
    <tableColumn id="2" xr3:uid="{00000000-0010-0000-0200-000002000000}" name="Sonnenein-_x000a_strahlung _x000a_in kWh/a" dataDxfId="24">
      <calculatedColumnFormula>B6*(1-Eingabe!$E$19)</calculatedColumnFormula>
    </tableColumn>
    <tableColumn id="3" xr3:uid="{00000000-0010-0000-0200-000003000000}" name="Umsatz-_x000a_erlöse" dataDxfId="23">
      <calculatedColumnFormula>B7*Eingabe!$E$34*D7</calculatedColumnFormula>
    </tableColumn>
    <tableColumn id="4" xr3:uid="{00000000-0010-0000-0200-000004000000}" name="Einspeisevergütung nach Ablauf der Förderperiode" dataDxfId="22">
      <calculatedColumnFormula>D6*(1+Eingabe!$E$30)</calculatedColumnFormula>
    </tableColumn>
    <tableColumn id="5" xr3:uid="{00000000-0010-0000-0200-000005000000}" name="durchschnittlicher Verbrauchspreis" dataDxfId="21">
      <calculatedColumnFormula>E6*(1+Eingabe!$E$30)</calculatedColumnFormula>
    </tableColumn>
    <tableColumn id="6" xr3:uid="{00000000-0010-0000-0200-000006000000}" name="Ersparnis Eigenverbrauch (Fiktive Einnnahme) " dataDxfId="20">
      <calculatedColumnFormula>B7*Eingabe!$E$35*Liquiditätsvorschau!E7</calculatedColumnFormula>
    </tableColumn>
    <tableColumn id="7" xr3:uid="{00000000-0010-0000-0200-000007000000}" name="Auszahlung _x000a_Darlehen" dataDxfId="19"/>
    <tableColumn id="8" xr3:uid="{00000000-0010-0000-0200-000008000000}" name="Einnahmen" dataDxfId="18">
      <calculatedColumnFormula>C7+F7+G7</calculatedColumnFormula>
    </tableColumn>
    <tableColumn id="9" xr3:uid="{00000000-0010-0000-0200-000009000000}" name="Anschaffungs-_x000a_kosten _x000a_Fotovoltaik-Anlage" dataDxfId="17"/>
    <tableColumn id="10" xr3:uid="{00000000-0010-0000-0200-00000A000000}" name="Wartung _x000a_und _x000a_Reparatur" dataDxfId="16">
      <calculatedColumnFormula>J6*(1+Eingabe!$E$29)</calculatedColumnFormula>
    </tableColumn>
    <tableColumn id="11" xr3:uid="{00000000-0010-0000-0200-00000B000000}" name="Versicherungen" dataDxfId="15">
      <calculatedColumnFormula>K6*(1+Eingabe!$E$29)</calculatedColumnFormula>
    </tableColumn>
    <tableColumn id="12" xr3:uid="{00000000-0010-0000-0200-00000C000000}" name="Zählermiete " dataDxfId="14">
      <calculatedColumnFormula>L6*(1+Eingabe!$E$29)</calculatedColumnFormula>
    </tableColumn>
    <tableColumn id="13" xr3:uid="{00000000-0010-0000-0200-00000D000000}" name="Verwaltungs-_x000a_kosten" dataDxfId="13">
      <calculatedColumnFormula>M6*(1+Eingabe!$E$29)</calculatedColumnFormula>
    </tableColumn>
    <tableColumn id="14" xr3:uid="{00000000-0010-0000-0200-00000E000000}" name="sonstige _x000a_Kosten" dataDxfId="12">
      <calculatedColumnFormula>N6*(1+Eingabe!$E$29)</calculatedColumnFormula>
    </tableColumn>
    <tableColumn id="15" xr3:uid="{00000000-0010-0000-0200-00000F000000}" name="Absetzung für Abnutzung" dataDxfId="11">
      <calculatedColumnFormula>'Absetzung für Abnutzung'!D13</calculatedColumnFormula>
    </tableColumn>
    <tableColumn id="16" xr3:uid="{00000000-0010-0000-0200-000010000000}" name="Sonderabschreibung" dataDxfId="10">
      <calculatedColumnFormula>'Absetzung für Abnutzung'!E13</calculatedColumnFormula>
    </tableColumn>
    <tableColumn id="17" xr3:uid="{00000000-0010-0000-0200-000011000000}" name="Anschaffungskostenminderung iSd. § 7g EStG" dataDxfId="9"/>
    <tableColumn id="18" xr3:uid="{00000000-0010-0000-0200-000012000000}" name="Investitions-abzugsbetrag" dataDxfId="8"/>
    <tableColumn id="19" xr3:uid="{00000000-0010-0000-0200-000013000000}" name="USt _x000a_Entnahme" dataDxfId="7">
      <calculatedColumnFormula>'Steuerliche Gewinnermittlung'!R7</calculatedColumnFormula>
    </tableColumn>
    <tableColumn id="20" xr3:uid="{00000000-0010-0000-0200-000014000000}" name="Annuität _x000a_Darlehen" dataDxfId="6">
      <calculatedColumnFormula>'Darlehen 1'!J19+'Darlehen 2'!J19+'Darlehen 3'!J19</calculatedColumnFormula>
    </tableColumn>
    <tableColumn id="21" xr3:uid="{00000000-0010-0000-0200-000015000000}" name="Kontokorrent-_x000a_zinsen" dataDxfId="5">
      <calculatedColumnFormula>-Konten!D7</calculatedColumnFormula>
    </tableColumn>
    <tableColumn id="22" xr3:uid="{00000000-0010-0000-0200-000016000000}" name="Liquiditäts-_x000a_überschuss/-unterdeckung vor Ertragsteuern" dataDxfId="4">
      <calculatedColumnFormula>C7+F7+G7-I7-J7-K7-L7-M7-N7-S7-T7-U7</calculatedColumnFormula>
    </tableColumn>
    <tableColumn id="23" xr3:uid="{00000000-0010-0000-0200-000017000000}" name="einkommen-_x000a_steuerliche Belastung/_x000a_Entlastung gesamt" dataDxfId="3">
      <calculatedColumnFormula>-'Steuerliche Gewinnermittlung'!AM7</calculatedColumnFormula>
    </tableColumn>
    <tableColumn id="24" xr3:uid="{00000000-0010-0000-0200-000018000000}" name="Gewerbe-_x000a_steuer" dataDxfId="2">
      <calculatedColumnFormula>-'Steuerliche Gewinnermittlung'!AY7</calculatedColumnFormula>
    </tableColumn>
    <tableColumn id="25" xr3:uid="{00000000-0010-0000-0200-000019000000}" name="Liquiditäts-_x000a_überschuss/-unterdeckung _x000a_nach Ertragsteuern" dataDxfId="1">
      <calculatedColumnFormula>V7+W7+X7</calculatedColumnFormula>
    </tableColumn>
    <tableColumn id="26" xr3:uid="{00000000-0010-0000-0200-00001A000000}" name="Barwert der Überschüsse/  Unterdeckungen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enbank.nwb.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9E477-2EE6-4BB3-ABA0-10BC8155835E}">
  <dimension ref="A1:J43"/>
  <sheetViews>
    <sheetView showGridLines="0" workbookViewId="0">
      <selection activeCell="B5" sqref="B5:C5"/>
    </sheetView>
  </sheetViews>
  <sheetFormatPr baseColWidth="10" defaultColWidth="0" defaultRowHeight="15" customHeight="1" zeroHeight="1"/>
  <cols>
    <col min="1" max="1" width="1.5" style="188" customWidth="1"/>
    <col min="2" max="2" width="41.625" style="188" customWidth="1"/>
    <col min="3" max="3" width="13.25" style="188" customWidth="1"/>
    <col min="4" max="7" width="10" style="188" customWidth="1"/>
    <col min="8" max="8" width="1.5" style="187" customWidth="1"/>
    <col min="9" max="16384" width="10" style="187" hidden="1"/>
  </cols>
  <sheetData>
    <row r="1" spans="1:10" ht="35.1" customHeight="1">
      <c r="A1" s="186"/>
      <c r="B1" s="238" t="s">
        <v>240</v>
      </c>
      <c r="C1" s="258"/>
      <c r="D1" s="258"/>
      <c r="E1" s="258"/>
      <c r="F1" s="258"/>
      <c r="G1" s="258"/>
    </row>
    <row r="2" spans="1:10"/>
    <row r="3" spans="1:10">
      <c r="B3" s="189" t="s">
        <v>186</v>
      </c>
    </row>
    <row r="4" spans="1:10" ht="20.100000000000001" customHeight="1">
      <c r="B4" s="190" t="s">
        <v>238</v>
      </c>
    </row>
    <row r="5" spans="1:10" ht="20.100000000000001" customHeight="1">
      <c r="B5" s="234" t="s">
        <v>187</v>
      </c>
      <c r="C5" s="235"/>
    </row>
    <row r="6" spans="1:10" ht="20.100000000000001" customHeight="1">
      <c r="B6" s="223" t="s">
        <v>207</v>
      </c>
      <c r="C6" s="191"/>
    </row>
    <row r="7" spans="1:10"/>
    <row r="8" spans="1:10">
      <c r="B8" s="189" t="s">
        <v>204</v>
      </c>
    </row>
    <row r="9" spans="1:10" s="200" customFormat="1" ht="45" customHeight="1">
      <c r="A9" s="199"/>
      <c r="B9" s="236" t="s">
        <v>205</v>
      </c>
      <c r="C9" s="237"/>
      <c r="D9" s="237"/>
      <c r="E9" s="237"/>
      <c r="F9" s="237"/>
      <c r="G9" s="237"/>
    </row>
    <row r="10" spans="1:10"/>
    <row r="11" spans="1:10">
      <c r="B11" s="189" t="s">
        <v>188</v>
      </c>
    </row>
    <row r="12" spans="1:10">
      <c r="B12" s="188" t="s">
        <v>189</v>
      </c>
    </row>
    <row r="13" spans="1:10"/>
    <row r="14" spans="1:10">
      <c r="B14" s="189" t="s">
        <v>190</v>
      </c>
    </row>
    <row r="15" spans="1:10">
      <c r="B15" s="227" t="s">
        <v>191</v>
      </c>
      <c r="C15" s="228"/>
      <c r="D15" s="228"/>
      <c r="E15" s="228"/>
      <c r="F15" s="228"/>
      <c r="G15" s="228"/>
      <c r="H15" s="228"/>
      <c r="I15" s="228"/>
      <c r="J15" s="228"/>
    </row>
    <row r="16" spans="1:10">
      <c r="B16" s="192"/>
      <c r="C16" s="193"/>
      <c r="D16" s="193"/>
      <c r="E16" s="193"/>
      <c r="F16" s="193"/>
      <c r="G16" s="193"/>
      <c r="H16" s="193"/>
      <c r="I16" s="193"/>
      <c r="J16" s="193"/>
    </row>
    <row r="17" spans="1:9" ht="20.100000000000001" customHeight="1">
      <c r="B17" s="227" t="s">
        <v>192</v>
      </c>
      <c r="C17" s="228"/>
      <c r="D17" s="228"/>
      <c r="E17" s="228"/>
      <c r="F17" s="228"/>
      <c r="G17" s="228"/>
    </row>
    <row r="18" spans="1:9" ht="20.100000000000001" customHeight="1">
      <c r="B18" s="194" t="s">
        <v>193</v>
      </c>
      <c r="C18" s="195"/>
      <c r="D18" s="195"/>
      <c r="E18" s="195"/>
      <c r="F18" s="195"/>
      <c r="G18" s="195"/>
      <c r="H18" s="195"/>
    </row>
    <row r="19" spans="1:9">
      <c r="B19" s="196"/>
      <c r="C19" s="193"/>
      <c r="D19" s="197"/>
      <c r="E19" s="197"/>
      <c r="F19" s="197"/>
      <c r="G19" s="197"/>
    </row>
    <row r="20" spans="1:9">
      <c r="B20" s="227" t="s">
        <v>2</v>
      </c>
      <c r="C20" s="228"/>
      <c r="D20" s="228"/>
      <c r="E20" s="228"/>
      <c r="F20" s="228"/>
      <c r="G20" s="228"/>
      <c r="H20" s="228"/>
    </row>
    <row r="21" spans="1:9">
      <c r="B21" s="227" t="s">
        <v>194</v>
      </c>
      <c r="C21" s="228"/>
      <c r="D21" s="228"/>
      <c r="E21" s="228"/>
      <c r="F21" s="228"/>
      <c r="G21" s="228"/>
    </row>
    <row r="22" spans="1:9">
      <c r="B22" s="198"/>
    </row>
    <row r="23" spans="1:9">
      <c r="B23" s="198" t="s">
        <v>195</v>
      </c>
    </row>
    <row r="24" spans="1:9" ht="20.100000000000001" customHeight="1">
      <c r="B24" s="230" t="s">
        <v>206</v>
      </c>
      <c r="C24" s="231"/>
      <c r="D24" s="231"/>
    </row>
    <row r="25" spans="1:9"/>
    <row r="26" spans="1:9">
      <c r="B26" s="229" t="s">
        <v>196</v>
      </c>
      <c r="C26" s="228"/>
      <c r="D26" s="228"/>
      <c r="E26" s="197"/>
      <c r="F26" s="197"/>
      <c r="G26" s="197"/>
    </row>
    <row r="27" spans="1:9" ht="20.100000000000001" customHeight="1">
      <c r="B27" s="227" t="s">
        <v>1</v>
      </c>
      <c r="C27" s="228"/>
      <c r="D27" s="228"/>
      <c r="E27" s="228"/>
      <c r="F27" s="228"/>
      <c r="G27" s="228"/>
      <c r="H27" s="228"/>
      <c r="I27" s="228"/>
    </row>
    <row r="28" spans="1:9" ht="20.100000000000001" customHeight="1">
      <c r="B28" s="227" t="s">
        <v>197</v>
      </c>
      <c r="C28" s="228"/>
      <c r="D28" s="228"/>
      <c r="E28" s="228"/>
      <c r="F28" s="228"/>
      <c r="G28" s="228"/>
      <c r="H28" s="228"/>
      <c r="I28" s="228"/>
    </row>
    <row r="29" spans="1:9">
      <c r="B29" s="233" t="s">
        <v>203</v>
      </c>
      <c r="C29" s="233"/>
      <c r="D29" s="233"/>
      <c r="E29" s="197"/>
      <c r="F29" s="197"/>
      <c r="G29" s="197"/>
    </row>
    <row r="30" spans="1:9" s="222" customFormat="1">
      <c r="A30" s="188"/>
      <c r="E30" s="197"/>
      <c r="F30" s="197"/>
      <c r="G30" s="197"/>
    </row>
    <row r="31" spans="1:9">
      <c r="B31" s="229" t="s">
        <v>208</v>
      </c>
      <c r="C31" s="228"/>
      <c r="D31" s="197"/>
      <c r="E31" s="197"/>
      <c r="F31" s="197"/>
      <c r="G31" s="197"/>
    </row>
    <row r="32" spans="1:9" ht="20.100000000000001" customHeight="1">
      <c r="B32" s="227" t="s">
        <v>198</v>
      </c>
      <c r="C32" s="228"/>
      <c r="D32" s="228"/>
      <c r="E32" s="228"/>
      <c r="F32" s="197"/>
      <c r="G32" s="197"/>
    </row>
    <row r="33" spans="2:7" ht="20.100000000000001" customHeight="1">
      <c r="B33" s="227" t="s">
        <v>199</v>
      </c>
      <c r="C33" s="228"/>
      <c r="D33" s="228"/>
      <c r="E33" s="197"/>
      <c r="F33" s="197"/>
      <c r="G33" s="197"/>
    </row>
    <row r="34" spans="2:7" ht="20.100000000000001" customHeight="1">
      <c r="B34" s="227" t="s">
        <v>200</v>
      </c>
      <c r="C34" s="228"/>
      <c r="D34" s="232"/>
      <c r="E34" s="232"/>
      <c r="F34" s="197"/>
      <c r="G34" s="197"/>
    </row>
    <row r="35" spans="2:7" ht="20.100000000000001" customHeight="1">
      <c r="B35" s="227" t="s">
        <v>201</v>
      </c>
      <c r="C35" s="228"/>
      <c r="D35" s="197"/>
      <c r="E35" s="197"/>
      <c r="F35" s="197"/>
      <c r="G35" s="197"/>
    </row>
    <row r="36" spans="2:7" ht="20.100000000000001" customHeight="1">
      <c r="B36" s="227" t="s">
        <v>202</v>
      </c>
      <c r="C36" s="228"/>
      <c r="D36" s="197"/>
      <c r="E36" s="197"/>
      <c r="F36" s="197"/>
      <c r="G36" s="197"/>
    </row>
    <row r="37" spans="2:7">
      <c r="B37" s="192"/>
      <c r="C37" s="197"/>
      <c r="D37" s="197"/>
      <c r="E37" s="197"/>
      <c r="F37" s="197"/>
      <c r="G37" s="197"/>
    </row>
    <row r="38" spans="2:7">
      <c r="E38" s="187"/>
      <c r="F38" s="187"/>
      <c r="G38" s="187"/>
    </row>
    <row r="39" spans="2:7"/>
    <row r="40" spans="2:7" ht="15" customHeight="1"/>
    <row r="41" spans="2:7" ht="15" customHeight="1"/>
    <row r="42" spans="2:7" ht="15" customHeight="1"/>
    <row r="43" spans="2:7" ht="15" customHeight="1"/>
  </sheetData>
  <sheetProtection algorithmName="SHA-512" hashValue="RFd/YvdDLlwIdWKhBGL+OJJHaHTCS3CKQGYZeiKkcEQeYLfkcDfR1sQ+7A3U29jBy0Rd6o9PdsmP0VXrKFzoxQ==" saltValue="d7YX8mbZsrxtTyXllkjurw==" spinCount="100000" sheet="1" objects="1" scenarios="1"/>
  <mergeCells count="18">
    <mergeCell ref="B21:G21"/>
    <mergeCell ref="B26:D26"/>
    <mergeCell ref="B27:I27"/>
    <mergeCell ref="B28:I28"/>
    <mergeCell ref="B1:G1"/>
    <mergeCell ref="B5:C5"/>
    <mergeCell ref="B15:J15"/>
    <mergeCell ref="B17:G17"/>
    <mergeCell ref="B20:H20"/>
    <mergeCell ref="B9:G9"/>
    <mergeCell ref="B35:C35"/>
    <mergeCell ref="B36:C36"/>
    <mergeCell ref="B31:C31"/>
    <mergeCell ref="B32:E32"/>
    <mergeCell ref="B24:D24"/>
    <mergeCell ref="B33:D33"/>
    <mergeCell ref="B34:E34"/>
    <mergeCell ref="B29:D29"/>
  </mergeCells>
  <hyperlinks>
    <hyperlink ref="B5:C5" r:id="rId1" display="Vorliegen einer aktuelleren Version in der NWB Datenbank prüfen." xr:uid="{45631C40-AFA2-4DBC-AB19-84D4C4348BB9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J379"/>
  <sheetViews>
    <sheetView workbookViewId="0">
      <selection activeCell="D4" sqref="D4"/>
    </sheetView>
  </sheetViews>
  <sheetFormatPr baseColWidth="10" defaultRowHeight="14.25"/>
  <cols>
    <col min="1" max="1" width="10.625" customWidth="1"/>
  </cols>
  <sheetData>
    <row r="1" spans="1:10" ht="15">
      <c r="A1" s="256" t="s">
        <v>30</v>
      </c>
      <c r="B1" s="257"/>
      <c r="C1" s="257"/>
      <c r="D1" s="257"/>
      <c r="E1" s="257"/>
      <c r="F1" s="257"/>
      <c r="G1" s="257"/>
      <c r="H1" s="257"/>
      <c r="I1" s="257"/>
      <c r="J1" s="257"/>
    </row>
    <row r="3" spans="1:10">
      <c r="A3" t="s">
        <v>74</v>
      </c>
      <c r="D3" t="str">
        <f>IF(Finanzierung!E4="","",Finanzierung!E4)</f>
        <v>Annuitätendarlehen</v>
      </c>
    </row>
    <row r="4" spans="1:10">
      <c r="A4" t="s">
        <v>32</v>
      </c>
      <c r="D4" s="2">
        <f>Finanzierung!E5</f>
        <v>3333</v>
      </c>
    </row>
    <row r="5" spans="1:10">
      <c r="A5" t="s">
        <v>34</v>
      </c>
      <c r="D5" s="13">
        <f>Finanzierung!E6</f>
        <v>10</v>
      </c>
      <c r="E5" t="s">
        <v>33</v>
      </c>
    </row>
    <row r="6" spans="1:10">
      <c r="A6" t="s">
        <v>75</v>
      </c>
      <c r="D6" s="1">
        <f>Finanzierung!E7/100</f>
        <v>0.02</v>
      </c>
    </row>
    <row r="7" spans="1:10">
      <c r="A7" t="s">
        <v>76</v>
      </c>
      <c r="D7" s="13">
        <f>Finanzierung!E8</f>
        <v>6</v>
      </c>
      <c r="E7" t="s">
        <v>37</v>
      </c>
    </row>
    <row r="8" spans="1:10">
      <c r="A8" t="s">
        <v>70</v>
      </c>
      <c r="D8" s="2">
        <f>Finanzierung!E9</f>
        <v>0</v>
      </c>
    </row>
    <row r="9" spans="1:10">
      <c r="A9" t="s">
        <v>81</v>
      </c>
      <c r="D9">
        <f>13-F9</f>
        <v>5</v>
      </c>
      <c r="E9" t="s">
        <v>80</v>
      </c>
      <c r="F9">
        <f>DATEDIF(EOMONTH(Eingabe!E12,-1),DATE(YEAR(Eingabe!E12),12,31),"m")</f>
        <v>8</v>
      </c>
      <c r="G9" t="s">
        <v>37</v>
      </c>
    </row>
    <row r="14" spans="1:10" ht="15" thickBot="1"/>
    <row r="15" spans="1:10" ht="15" thickTop="1">
      <c r="A15" s="7" t="s">
        <v>77</v>
      </c>
      <c r="B15" s="7"/>
      <c r="C15" s="7"/>
      <c r="D15" s="7"/>
      <c r="E15" s="7"/>
      <c r="F15" s="7"/>
      <c r="G15" s="7" t="s">
        <v>69</v>
      </c>
      <c r="H15" s="7"/>
      <c r="I15" s="7"/>
      <c r="J15" s="7"/>
    </row>
    <row r="16" spans="1:10">
      <c r="A16" s="6"/>
      <c r="B16" s="6"/>
      <c r="C16" s="6"/>
      <c r="D16" s="6"/>
      <c r="E16" s="3"/>
      <c r="F16" s="6"/>
      <c r="G16" s="6"/>
      <c r="H16" s="6"/>
      <c r="I16" s="6"/>
      <c r="J16" s="6"/>
    </row>
    <row r="17" spans="1:10">
      <c r="A17" s="14" t="s">
        <v>68</v>
      </c>
      <c r="B17" s="8" t="s">
        <v>70</v>
      </c>
      <c r="C17" s="8" t="s">
        <v>67</v>
      </c>
      <c r="D17" s="8" t="s">
        <v>71</v>
      </c>
      <c r="E17" s="9" t="s">
        <v>72</v>
      </c>
      <c r="F17" s="17" t="s">
        <v>73</v>
      </c>
      <c r="G17" s="9" t="s">
        <v>70</v>
      </c>
      <c r="H17" s="9" t="s">
        <v>67</v>
      </c>
      <c r="I17" s="9" t="s">
        <v>71</v>
      </c>
      <c r="J17" s="9" t="s">
        <v>72</v>
      </c>
    </row>
    <row r="18" spans="1:10">
      <c r="A18" s="15"/>
      <c r="B18" s="6"/>
      <c r="C18" s="6"/>
      <c r="D18" s="6"/>
      <c r="E18" s="3"/>
      <c r="F18" s="18"/>
      <c r="G18" s="6"/>
      <c r="H18" s="6"/>
      <c r="I18" s="6"/>
      <c r="J18" s="6"/>
    </row>
    <row r="19" spans="1:10">
      <c r="A19" s="16">
        <v>0</v>
      </c>
      <c r="B19" s="10">
        <f>D4</f>
        <v>3333</v>
      </c>
      <c r="C19" s="11"/>
      <c r="D19" s="11"/>
      <c r="E19" s="4"/>
      <c r="F19" s="19">
        <v>0</v>
      </c>
      <c r="G19" s="10">
        <f>D4</f>
        <v>3333</v>
      </c>
      <c r="H19" s="11"/>
      <c r="I19" s="11"/>
      <c r="J19" s="11"/>
    </row>
    <row r="20" spans="1:10">
      <c r="A20" s="16">
        <v>1</v>
      </c>
      <c r="B20" s="10">
        <f t="shared" ref="B20:B83" si="0">IF(A20&lt;=$D$5*12,B19-D20,0)</f>
        <v>3333</v>
      </c>
      <c r="C20" s="10">
        <f t="shared" ref="C20:C83" si="1">IF(A20&lt;=$D$5*12,B19*$D$6/12,0)</f>
        <v>5.5549999999999997</v>
      </c>
      <c r="D20" s="10">
        <f>IF($D$3="Annuitätendarlehen",IF(A20&lt;=$D$5*12,E20-C20,0),IF($D$3="Ratendarlehen",IF(AND(A20&lt;=$D$5*12,A20&gt;$D$7),$D$4/($D$5*12-$D$7),0),IF($D$3="Restwertdarlehen",IF(A20=$D$5*12,$D$4,0),0)))</f>
        <v>0</v>
      </c>
      <c r="E20" s="5">
        <f>IF($D$3="Annuitätendarlehen",IF(AND(A20&lt;=$D$5*12,A20&gt;$D$7),PMT($D$6/12,$D$5*12-$D$7,-$D$4,$D$8,0),IF(A20&lt;=$D$7,C20,0)),IF($D$3="Ratendarlehen",IF(AND(A20&lt;=$D$5*12,A20&gt;$D$7),$D$4/($D$5*12-$D$7)+C20,IF(A20&lt;=$D$7,C20,0)),IF(AND($D$3="Restwertdarlehen",A20&lt;=$D$5*12),C20+D20,0)))</f>
        <v>5.5549999999999997</v>
      </c>
      <c r="F20" s="19">
        <v>1</v>
      </c>
      <c r="G20" s="10">
        <f ca="1">IF(A20&lt;=INT(F20-0.00001+($D$5-1)/12)+1,G19-I20,0)</f>
        <v>3279.8126589421477</v>
      </c>
      <c r="H20" s="10">
        <f ca="1">SUM(INDIRECT("z"&amp;ROW($E$20)-$D$9+1+F19*12&amp;"s"&amp;COLUMN($C$10)&amp;":z"&amp;ROW($E$20)-$D$9+1+F19*12+12-1&amp;"s"&amp;COLUMN($C$10),0))</f>
        <v>44.395714120684552</v>
      </c>
      <c r="I20" s="10">
        <f t="shared" ref="I20:I49" ca="1" si="2">+J20-H20</f>
        <v>53.187341057852429</v>
      </c>
      <c r="J20" s="10">
        <f ca="1">SUM(INDIRECT("z"&amp;ROW($E$20)-$D$9+1+F19*12&amp;"s"&amp;COLUMN($E$10)&amp;":z"&amp;ROW($E$20)-$D$9+1+F19*12+12-1&amp;"s"&amp;COLUMN($E$10),0))</f>
        <v>97.583055178536981</v>
      </c>
    </row>
    <row r="21" spans="1:10">
      <c r="A21" s="16">
        <v>2</v>
      </c>
      <c r="B21" s="10">
        <f t="shared" si="0"/>
        <v>3333</v>
      </c>
      <c r="C21" s="10">
        <f t="shared" si="1"/>
        <v>5.5549999999999997</v>
      </c>
      <c r="D21" s="10">
        <f t="shared" ref="D21:D84" si="3">IF($D$3="Annuitätendarlehen",IF(A21&lt;=$D$5*12,E21-C21,0),IF($D$3="Ratendarlehen",IF(AND(A21&lt;=$D$5*12,A21&gt;$D$7),$D$4/($D$5*12-$D$7),0),IF($D$3="Restwertdarlehen",IF(A21=$D$5*12,$D$4,0),0)))</f>
        <v>0</v>
      </c>
      <c r="E21" s="5">
        <f t="shared" ref="E21:E84" si="4">IF($D$3="Annuitätendarlehen",IF(AND(A21&lt;=$D$5*12,A21&gt;$D$7),PMT($D$6/12,$D$5*12-$D$7,-$D$4,$D$8,0),IF(A21&lt;=$D$7,C21,0)),IF($D$3="Ratendarlehen",IF(AND(A21&lt;=$D$5*12,A21&gt;$D$7),$D$4/($D$5*12-$D$7)+C21,IF(A21&lt;=$D$7,C21,0)),IF(AND($D$3="Restwertdarlehen",A21&lt;=$D$5*12),C21+D21,0)))</f>
        <v>5.5549999999999997</v>
      </c>
      <c r="F21" s="19">
        <v>2</v>
      </c>
      <c r="G21" s="10">
        <f t="shared" ref="G21:G49" ca="1" si="5">IF(A21&lt;=INT(F21-0.00001+($D$5-1)/12)+1,G20-I21,0)</f>
        <v>2956.9416084149102</v>
      </c>
      <c r="H21" s="10">
        <f t="shared" ref="H21:H49" ca="1" si="6">SUM(INDIRECT("z"&amp;ROW($E$20)-$D$9+1+F20*12&amp;"s"&amp;COLUMN($C$10)&amp;":z"&amp;ROW($E$20)-$D$9+1+F20*12+12-1&amp;"s"&amp;COLUMN($C$10),0))</f>
        <v>62.647280543984657</v>
      </c>
      <c r="I21" s="10">
        <f t="shared" ca="1" si="2"/>
        <v>322.87105052723734</v>
      </c>
      <c r="J21" s="10">
        <f t="shared" ref="J21:J49" ca="1" si="7">SUM(INDIRECT("z"&amp;ROW($E$20)-$D$9+1+F20*12&amp;"s"&amp;COLUMN($E$10)&amp;":z"&amp;ROW($E$20)-$D$9+1+F20*12+12-1&amp;"s"&amp;COLUMN($E$10),0))</f>
        <v>385.51833107122201</v>
      </c>
    </row>
    <row r="22" spans="1:10">
      <c r="A22" s="16">
        <v>3</v>
      </c>
      <c r="B22" s="10">
        <f t="shared" si="0"/>
        <v>3333</v>
      </c>
      <c r="C22" s="10">
        <f t="shared" si="1"/>
        <v>5.5549999999999997</v>
      </c>
      <c r="D22" s="10">
        <f t="shared" si="3"/>
        <v>0</v>
      </c>
      <c r="E22" s="5">
        <f t="shared" si="4"/>
        <v>5.5549999999999997</v>
      </c>
      <c r="F22" s="19">
        <v>3</v>
      </c>
      <c r="G22" s="10">
        <f t="shared" ca="1" si="5"/>
        <v>2627.5536137645713</v>
      </c>
      <c r="H22" s="10">
        <f t="shared" ca="1" si="6"/>
        <v>56.130336420882891</v>
      </c>
      <c r="I22" s="10">
        <f t="shared" ca="1" si="2"/>
        <v>329.38799465033912</v>
      </c>
      <c r="J22" s="10">
        <f t="shared" ca="1" si="7"/>
        <v>385.51833107122201</v>
      </c>
    </row>
    <row r="23" spans="1:10">
      <c r="A23" s="16">
        <v>4</v>
      </c>
      <c r="B23" s="10">
        <f t="shared" si="0"/>
        <v>3333</v>
      </c>
      <c r="C23" s="10">
        <f t="shared" si="1"/>
        <v>5.5549999999999997</v>
      </c>
      <c r="D23" s="10">
        <f t="shared" si="3"/>
        <v>0</v>
      </c>
      <c r="E23" s="5">
        <f t="shared" si="4"/>
        <v>5.5549999999999997</v>
      </c>
      <c r="F23" s="19">
        <v>4</v>
      </c>
      <c r="G23" s="10">
        <f t="shared" ca="1" si="5"/>
        <v>2291.5171346729931</v>
      </c>
      <c r="H23" s="10">
        <f t="shared" ca="1" si="6"/>
        <v>49.481851979644006</v>
      </c>
      <c r="I23" s="10">
        <f t="shared" ca="1" si="2"/>
        <v>336.03647909157803</v>
      </c>
      <c r="J23" s="10">
        <f t="shared" ca="1" si="7"/>
        <v>385.51833107122201</v>
      </c>
    </row>
    <row r="24" spans="1:10">
      <c r="A24" s="16">
        <v>5</v>
      </c>
      <c r="B24" s="10">
        <f t="shared" si="0"/>
        <v>3333</v>
      </c>
      <c r="C24" s="10">
        <f t="shared" si="1"/>
        <v>5.5549999999999997</v>
      </c>
      <c r="D24" s="10">
        <f t="shared" si="3"/>
        <v>0</v>
      </c>
      <c r="E24" s="5">
        <f t="shared" si="4"/>
        <v>5.5549999999999997</v>
      </c>
      <c r="F24" s="19">
        <v>5</v>
      </c>
      <c r="G24" s="10">
        <f t="shared" ca="1" si="5"/>
        <v>1948.6979757654713</v>
      </c>
      <c r="H24" s="10">
        <f t="shared" ca="1" si="6"/>
        <v>42.699172163700212</v>
      </c>
      <c r="I24" s="10">
        <f t="shared" ca="1" si="2"/>
        <v>342.8191589075218</v>
      </c>
      <c r="J24" s="10">
        <f t="shared" ca="1" si="7"/>
        <v>385.51833107122201</v>
      </c>
    </row>
    <row r="25" spans="1:10">
      <c r="A25" s="16">
        <v>6</v>
      </c>
      <c r="B25" s="10">
        <f t="shared" si="0"/>
        <v>3333</v>
      </c>
      <c r="C25" s="10">
        <f t="shared" si="1"/>
        <v>5.5549999999999997</v>
      </c>
      <c r="D25" s="10">
        <f t="shared" si="3"/>
        <v>0</v>
      </c>
      <c r="E25" s="5">
        <f t="shared" si="4"/>
        <v>5.5549999999999997</v>
      </c>
      <c r="F25" s="19">
        <v>6</v>
      </c>
      <c r="G25" s="10">
        <f t="shared" ca="1" si="5"/>
        <v>1598.9592330201269</v>
      </c>
      <c r="H25" s="10">
        <f t="shared" ca="1" si="6"/>
        <v>35.779588325877675</v>
      </c>
      <c r="I25" s="10">
        <f t="shared" ca="1" si="2"/>
        <v>349.73874274534433</v>
      </c>
      <c r="J25" s="10">
        <f t="shared" ca="1" si="7"/>
        <v>385.51833107122201</v>
      </c>
    </row>
    <row r="26" spans="1:10">
      <c r="A26" s="16">
        <v>7</v>
      </c>
      <c r="B26" s="10">
        <f t="shared" si="0"/>
        <v>3306.4284724107315</v>
      </c>
      <c r="C26" s="10">
        <f t="shared" si="1"/>
        <v>5.5549999999999997</v>
      </c>
      <c r="D26" s="10">
        <f t="shared" si="3"/>
        <v>26.571527589268491</v>
      </c>
      <c r="E26" s="5">
        <f t="shared" si="4"/>
        <v>32.126527589268491</v>
      </c>
      <c r="F26" s="19">
        <v>7</v>
      </c>
      <c r="G26" s="10">
        <f t="shared" ca="1" si="5"/>
        <v>1242.1612390956095</v>
      </c>
      <c r="H26" s="10">
        <f t="shared" ca="1" si="6"/>
        <v>28.720337146704566</v>
      </c>
      <c r="I26" s="10">
        <f t="shared" ca="1" si="2"/>
        <v>356.79799392451741</v>
      </c>
      <c r="J26" s="10">
        <f t="shared" ca="1" si="7"/>
        <v>385.51833107122201</v>
      </c>
    </row>
    <row r="27" spans="1:10">
      <c r="A27" s="16">
        <v>8</v>
      </c>
      <c r="B27" s="10">
        <f t="shared" si="0"/>
        <v>3279.8126589421477</v>
      </c>
      <c r="C27" s="10">
        <f t="shared" si="1"/>
        <v>5.5107141206845531</v>
      </c>
      <c r="D27" s="10">
        <f t="shared" si="3"/>
        <v>26.615813468583937</v>
      </c>
      <c r="E27" s="5">
        <f t="shared" si="4"/>
        <v>32.126527589268491</v>
      </c>
      <c r="F27" s="19">
        <v>8</v>
      </c>
      <c r="G27" s="10">
        <f t="shared" ca="1" si="5"/>
        <v>878.16150755527349</v>
      </c>
      <c r="H27" s="10">
        <f t="shared" ca="1" si="6"/>
        <v>21.518599530885954</v>
      </c>
      <c r="I27" s="10">
        <f t="shared" ca="1" si="2"/>
        <v>363.99973154033603</v>
      </c>
      <c r="J27" s="10">
        <f t="shared" ca="1" si="7"/>
        <v>385.51833107122201</v>
      </c>
    </row>
    <row r="28" spans="1:10">
      <c r="A28" s="16">
        <v>9</v>
      </c>
      <c r="B28" s="10">
        <f t="shared" si="0"/>
        <v>3253.1524857844493</v>
      </c>
      <c r="C28" s="10">
        <f t="shared" si="1"/>
        <v>5.4663544315702461</v>
      </c>
      <c r="D28" s="10">
        <f t="shared" si="3"/>
        <v>26.660173157698246</v>
      </c>
      <c r="E28" s="5">
        <f t="shared" si="4"/>
        <v>32.126527589268491</v>
      </c>
      <c r="F28" s="19">
        <v>9</v>
      </c>
      <c r="G28" s="10">
        <f t="shared" ca="1" si="5"/>
        <v>506.81467596555632</v>
      </c>
      <c r="H28" s="10">
        <f t="shared" ca="1" si="6"/>
        <v>14.171499481504824</v>
      </c>
      <c r="I28" s="10">
        <f t="shared" ca="1" si="2"/>
        <v>371.34683158971717</v>
      </c>
      <c r="J28" s="10">
        <f t="shared" ca="1" si="7"/>
        <v>385.51833107122201</v>
      </c>
    </row>
    <row r="29" spans="1:10">
      <c r="A29" s="16">
        <v>10</v>
      </c>
      <c r="B29" s="10">
        <f t="shared" si="0"/>
        <v>3226.4478790048215</v>
      </c>
      <c r="C29" s="10">
        <f t="shared" si="1"/>
        <v>5.4219208096407492</v>
      </c>
      <c r="D29" s="10">
        <f t="shared" si="3"/>
        <v>26.704606779627742</v>
      </c>
      <c r="E29" s="5">
        <f t="shared" si="4"/>
        <v>32.126527589268491</v>
      </c>
      <c r="F29" s="19">
        <v>10</v>
      </c>
      <c r="G29" s="10">
        <f t="shared" ca="1" si="5"/>
        <v>127.9724478458337</v>
      </c>
      <c r="H29" s="10">
        <f t="shared" ca="1" si="6"/>
        <v>6.6761029514994057</v>
      </c>
      <c r="I29" s="10">
        <f t="shared" ca="1" si="2"/>
        <v>378.84222811972262</v>
      </c>
      <c r="J29" s="10">
        <f t="shared" ca="1" si="7"/>
        <v>385.51833107122201</v>
      </c>
    </row>
    <row r="30" spans="1:10">
      <c r="A30" s="16">
        <v>11</v>
      </c>
      <c r="B30" s="10">
        <f t="shared" si="0"/>
        <v>3199.6987645472277</v>
      </c>
      <c r="C30" s="10">
        <f t="shared" si="1"/>
        <v>5.3774131316747029</v>
      </c>
      <c r="D30" s="10">
        <f t="shared" si="3"/>
        <v>26.749114457593787</v>
      </c>
      <c r="E30" s="5">
        <f t="shared" si="4"/>
        <v>32.126527589268491</v>
      </c>
      <c r="F30" s="19">
        <v>11</v>
      </c>
      <c r="G30" s="10">
        <f t="shared" ca="1" si="5"/>
        <v>-6.2527760746888816E-13</v>
      </c>
      <c r="H30" s="10">
        <f t="shared" ca="1" si="6"/>
        <v>0.53366251123964292</v>
      </c>
      <c r="I30" s="10">
        <f t="shared" ca="1" si="2"/>
        <v>127.97244784583432</v>
      </c>
      <c r="J30" s="10">
        <f t="shared" ca="1" si="7"/>
        <v>128.50611035707396</v>
      </c>
    </row>
    <row r="31" spans="1:10">
      <c r="A31" s="16">
        <v>12</v>
      </c>
      <c r="B31" s="10">
        <f t="shared" si="0"/>
        <v>3172.9050682322045</v>
      </c>
      <c r="C31" s="10">
        <f t="shared" si="1"/>
        <v>5.3328312742453798</v>
      </c>
      <c r="D31" s="10">
        <f t="shared" si="3"/>
        <v>26.793696315023112</v>
      </c>
      <c r="E31" s="5">
        <f t="shared" si="4"/>
        <v>32.126527589268491</v>
      </c>
      <c r="F31" s="19">
        <v>12</v>
      </c>
      <c r="G31" s="10">
        <f t="shared" ca="1" si="5"/>
        <v>-6.2527760746888816E-13</v>
      </c>
      <c r="H31" s="10">
        <f t="shared" ca="1" si="6"/>
        <v>0</v>
      </c>
      <c r="I31" s="10">
        <f t="shared" ca="1" si="2"/>
        <v>0</v>
      </c>
      <c r="J31" s="10">
        <f t="shared" ca="1" si="7"/>
        <v>0</v>
      </c>
    </row>
    <row r="32" spans="1:10">
      <c r="A32" s="16">
        <v>13</v>
      </c>
      <c r="B32" s="10">
        <f t="shared" si="0"/>
        <v>3146.0667157566563</v>
      </c>
      <c r="C32" s="10">
        <f t="shared" si="1"/>
        <v>5.2881751137203414</v>
      </c>
      <c r="D32" s="10">
        <f t="shared" si="3"/>
        <v>26.838352475548149</v>
      </c>
      <c r="E32" s="5">
        <f t="shared" si="4"/>
        <v>32.126527589268491</v>
      </c>
      <c r="F32" s="19">
        <v>13</v>
      </c>
      <c r="G32" s="10">
        <f t="shared" ca="1" si="5"/>
        <v>-6.2527760746888816E-13</v>
      </c>
      <c r="H32" s="10">
        <f t="shared" ca="1" si="6"/>
        <v>0</v>
      </c>
      <c r="I32" s="10">
        <f t="shared" ca="1" si="2"/>
        <v>0</v>
      </c>
      <c r="J32" s="10">
        <f t="shared" ca="1" si="7"/>
        <v>0</v>
      </c>
    </row>
    <row r="33" spans="1:10">
      <c r="A33" s="16">
        <v>14</v>
      </c>
      <c r="B33" s="10">
        <f t="shared" si="0"/>
        <v>3119.1836326936491</v>
      </c>
      <c r="C33" s="10">
        <f t="shared" si="1"/>
        <v>5.2434445262610945</v>
      </c>
      <c r="D33" s="10">
        <f t="shared" si="3"/>
        <v>26.883083063007398</v>
      </c>
      <c r="E33" s="5">
        <f t="shared" si="4"/>
        <v>32.126527589268491</v>
      </c>
      <c r="F33" s="19">
        <v>14</v>
      </c>
      <c r="G33" s="10">
        <f t="shared" ca="1" si="5"/>
        <v>-6.2527760746888816E-13</v>
      </c>
      <c r="H33" s="10">
        <f t="shared" ca="1" si="6"/>
        <v>0</v>
      </c>
      <c r="I33" s="10">
        <f t="shared" ca="1" si="2"/>
        <v>0</v>
      </c>
      <c r="J33" s="10">
        <f t="shared" ca="1" si="7"/>
        <v>0</v>
      </c>
    </row>
    <row r="34" spans="1:10">
      <c r="A34" s="16">
        <v>15</v>
      </c>
      <c r="B34" s="10">
        <f t="shared" si="0"/>
        <v>3092.2557444922031</v>
      </c>
      <c r="C34" s="10">
        <f t="shared" si="1"/>
        <v>5.198639387822749</v>
      </c>
      <c r="D34" s="10">
        <f t="shared" si="3"/>
        <v>26.927888201445743</v>
      </c>
      <c r="E34" s="5">
        <f t="shared" si="4"/>
        <v>32.126527589268491</v>
      </c>
      <c r="F34" s="19">
        <v>15</v>
      </c>
      <c r="G34" s="10">
        <f t="shared" ca="1" si="5"/>
        <v>-6.2527760746888816E-13</v>
      </c>
      <c r="H34" s="10">
        <f t="shared" ca="1" si="6"/>
        <v>0</v>
      </c>
      <c r="I34" s="10">
        <f t="shared" ca="1" si="2"/>
        <v>0</v>
      </c>
      <c r="J34" s="10">
        <f t="shared" ca="1" si="7"/>
        <v>0</v>
      </c>
    </row>
    <row r="35" spans="1:10">
      <c r="A35" s="16">
        <v>16</v>
      </c>
      <c r="B35" s="10">
        <f t="shared" si="0"/>
        <v>3065.2829764770881</v>
      </c>
      <c r="C35" s="10">
        <f t="shared" si="1"/>
        <v>5.1537595741536721</v>
      </c>
      <c r="D35" s="10">
        <f t="shared" si="3"/>
        <v>26.97276801511482</v>
      </c>
      <c r="E35" s="5">
        <f t="shared" si="4"/>
        <v>32.126527589268491</v>
      </c>
      <c r="F35" s="19">
        <v>16</v>
      </c>
      <c r="G35" s="10">
        <f t="shared" ca="1" si="5"/>
        <v>-6.2527760746888816E-13</v>
      </c>
      <c r="H35" s="10">
        <f t="shared" ca="1" si="6"/>
        <v>0</v>
      </c>
      <c r="I35" s="10">
        <f t="shared" ca="1" si="2"/>
        <v>0</v>
      </c>
      <c r="J35" s="10">
        <f t="shared" ca="1" si="7"/>
        <v>0</v>
      </c>
    </row>
    <row r="36" spans="1:10">
      <c r="A36" s="16">
        <v>17</v>
      </c>
      <c r="B36" s="10">
        <f t="shared" si="0"/>
        <v>3038.265253848615</v>
      </c>
      <c r="C36" s="10">
        <f t="shared" si="1"/>
        <v>5.1088049607951467</v>
      </c>
      <c r="D36" s="10">
        <f t="shared" si="3"/>
        <v>27.017722628473344</v>
      </c>
      <c r="E36" s="5">
        <f t="shared" si="4"/>
        <v>32.126527589268491</v>
      </c>
      <c r="F36" s="19">
        <v>17</v>
      </c>
      <c r="G36" s="10">
        <f t="shared" ca="1" si="5"/>
        <v>-6.2527760746888816E-13</v>
      </c>
      <c r="H36" s="10">
        <f t="shared" ca="1" si="6"/>
        <v>0</v>
      </c>
      <c r="I36" s="10">
        <f t="shared" ca="1" si="2"/>
        <v>0</v>
      </c>
      <c r="J36" s="10">
        <f t="shared" ca="1" si="7"/>
        <v>0</v>
      </c>
    </row>
    <row r="37" spans="1:10">
      <c r="A37" s="16">
        <v>18</v>
      </c>
      <c r="B37" s="10">
        <f t="shared" si="0"/>
        <v>3011.2025016824273</v>
      </c>
      <c r="C37" s="10">
        <f t="shared" si="1"/>
        <v>5.063775423081025</v>
      </c>
      <c r="D37" s="10">
        <f t="shared" si="3"/>
        <v>27.062752166187465</v>
      </c>
      <c r="E37" s="5">
        <f t="shared" si="4"/>
        <v>32.126527589268491</v>
      </c>
      <c r="F37" s="19">
        <v>18</v>
      </c>
      <c r="G37" s="10">
        <f t="shared" ca="1" si="5"/>
        <v>-6.2527760746888816E-13</v>
      </c>
      <c r="H37" s="10">
        <f t="shared" ca="1" si="6"/>
        <v>0</v>
      </c>
      <c r="I37" s="10">
        <f t="shared" ca="1" si="2"/>
        <v>0</v>
      </c>
      <c r="J37" s="10">
        <f t="shared" ca="1" si="7"/>
        <v>0</v>
      </c>
    </row>
    <row r="38" spans="1:10">
      <c r="A38" s="16">
        <v>19</v>
      </c>
      <c r="B38" s="10">
        <f t="shared" si="0"/>
        <v>2984.094644929296</v>
      </c>
      <c r="C38" s="10">
        <f t="shared" si="1"/>
        <v>5.0186708361373791</v>
      </c>
      <c r="D38" s="10">
        <f t="shared" si="3"/>
        <v>27.107856753131113</v>
      </c>
      <c r="E38" s="5">
        <f t="shared" si="4"/>
        <v>32.126527589268491</v>
      </c>
      <c r="F38" s="19">
        <v>19</v>
      </c>
      <c r="G38" s="10">
        <f t="shared" ca="1" si="5"/>
        <v>-6.2527760746888816E-13</v>
      </c>
      <c r="H38" s="10">
        <f t="shared" ca="1" si="6"/>
        <v>0</v>
      </c>
      <c r="I38" s="10">
        <f t="shared" ca="1" si="2"/>
        <v>0</v>
      </c>
      <c r="J38" s="10">
        <f t="shared" ca="1" si="7"/>
        <v>0</v>
      </c>
    </row>
    <row r="39" spans="1:10">
      <c r="A39" s="16">
        <v>20</v>
      </c>
      <c r="B39" s="10">
        <f t="shared" si="0"/>
        <v>2956.9416084149098</v>
      </c>
      <c r="C39" s="10">
        <f t="shared" si="1"/>
        <v>4.9734910748821601</v>
      </c>
      <c r="D39" s="10">
        <f t="shared" si="3"/>
        <v>27.153036514386329</v>
      </c>
      <c r="E39" s="5">
        <f t="shared" si="4"/>
        <v>32.126527589268491</v>
      </c>
      <c r="F39" s="19">
        <v>20</v>
      </c>
      <c r="G39" s="10">
        <f t="shared" ca="1" si="5"/>
        <v>-6.2527760746888816E-13</v>
      </c>
      <c r="H39" s="10">
        <f t="shared" ca="1" si="6"/>
        <v>0</v>
      </c>
      <c r="I39" s="10">
        <f t="shared" ca="1" si="2"/>
        <v>0</v>
      </c>
      <c r="J39" s="10">
        <f t="shared" ca="1" si="7"/>
        <v>0</v>
      </c>
    </row>
    <row r="40" spans="1:10">
      <c r="A40" s="16">
        <v>21</v>
      </c>
      <c r="B40" s="10">
        <f t="shared" si="0"/>
        <v>2929.743316839666</v>
      </c>
      <c r="C40" s="10">
        <f t="shared" si="1"/>
        <v>4.9282360140248498</v>
      </c>
      <c r="D40" s="10">
        <f t="shared" si="3"/>
        <v>27.19829157524364</v>
      </c>
      <c r="E40" s="5">
        <f t="shared" si="4"/>
        <v>32.126527589268491</v>
      </c>
      <c r="F40" s="19">
        <v>21</v>
      </c>
      <c r="G40" s="10">
        <f t="shared" ca="1" si="5"/>
        <v>-6.2527760746888816E-13</v>
      </c>
      <c r="H40" s="10">
        <f t="shared" ca="1" si="6"/>
        <v>0</v>
      </c>
      <c r="I40" s="10">
        <f t="shared" ca="1" si="2"/>
        <v>0</v>
      </c>
      <c r="J40" s="10">
        <f t="shared" ca="1" si="7"/>
        <v>0</v>
      </c>
    </row>
    <row r="41" spans="1:10">
      <c r="A41" s="16">
        <v>22</v>
      </c>
      <c r="B41" s="10">
        <f t="shared" si="0"/>
        <v>2902.4996947784634</v>
      </c>
      <c r="C41" s="10">
        <f t="shared" si="1"/>
        <v>4.88290552806611</v>
      </c>
      <c r="D41" s="10">
        <f t="shared" si="3"/>
        <v>27.24362206120238</v>
      </c>
      <c r="E41" s="5">
        <f t="shared" si="4"/>
        <v>32.126527589268491</v>
      </c>
      <c r="F41" s="19">
        <v>22</v>
      </c>
      <c r="G41" s="10">
        <f t="shared" ca="1" si="5"/>
        <v>-6.2527760746888816E-13</v>
      </c>
      <c r="H41" s="10">
        <f t="shared" ca="1" si="6"/>
        <v>0</v>
      </c>
      <c r="I41" s="10">
        <f t="shared" ca="1" si="2"/>
        <v>0</v>
      </c>
      <c r="J41" s="10">
        <f t="shared" ca="1" si="7"/>
        <v>0</v>
      </c>
    </row>
    <row r="42" spans="1:10">
      <c r="A42" s="16">
        <v>23</v>
      </c>
      <c r="B42" s="10">
        <f t="shared" si="0"/>
        <v>2875.2106666804925</v>
      </c>
      <c r="C42" s="10">
        <f t="shared" si="1"/>
        <v>4.8374994912974394</v>
      </c>
      <c r="D42" s="10">
        <f t="shared" si="3"/>
        <v>27.289028097971052</v>
      </c>
      <c r="E42" s="5">
        <f t="shared" si="4"/>
        <v>32.126527589268491</v>
      </c>
      <c r="F42" s="19">
        <v>23</v>
      </c>
      <c r="G42" s="10">
        <f t="shared" ca="1" si="5"/>
        <v>-6.2527760746888816E-13</v>
      </c>
      <c r="H42" s="10">
        <f t="shared" ca="1" si="6"/>
        <v>0</v>
      </c>
      <c r="I42" s="10">
        <f t="shared" ca="1" si="2"/>
        <v>0</v>
      </c>
      <c r="J42" s="10">
        <f t="shared" ca="1" si="7"/>
        <v>0</v>
      </c>
    </row>
    <row r="43" spans="1:10">
      <c r="A43" s="16">
        <v>24</v>
      </c>
      <c r="B43" s="10">
        <f t="shared" si="0"/>
        <v>2847.8761568690247</v>
      </c>
      <c r="C43" s="10">
        <f t="shared" si="1"/>
        <v>4.7920177778008215</v>
      </c>
      <c r="D43" s="10">
        <f t="shared" si="3"/>
        <v>27.334509811467669</v>
      </c>
      <c r="E43" s="5">
        <f t="shared" si="4"/>
        <v>32.126527589268491</v>
      </c>
      <c r="F43" s="19">
        <v>24</v>
      </c>
      <c r="G43" s="10">
        <f t="shared" ca="1" si="5"/>
        <v>-6.2527760746888816E-13</v>
      </c>
      <c r="H43" s="10">
        <f t="shared" ca="1" si="6"/>
        <v>0</v>
      </c>
      <c r="I43" s="10">
        <f t="shared" ca="1" si="2"/>
        <v>0</v>
      </c>
      <c r="J43" s="10">
        <f t="shared" ca="1" si="7"/>
        <v>0</v>
      </c>
    </row>
    <row r="44" spans="1:10">
      <c r="A44" s="16">
        <v>25</v>
      </c>
      <c r="B44" s="10">
        <f t="shared" si="0"/>
        <v>2820.4960895412046</v>
      </c>
      <c r="C44" s="10">
        <f t="shared" si="1"/>
        <v>4.7464602614483749</v>
      </c>
      <c r="D44" s="10">
        <f t="shared" si="3"/>
        <v>27.380067327820115</v>
      </c>
      <c r="E44" s="5">
        <f t="shared" si="4"/>
        <v>32.126527589268491</v>
      </c>
      <c r="F44" s="19">
        <v>25</v>
      </c>
      <c r="G44" s="10">
        <f t="shared" ca="1" si="5"/>
        <v>-6.2527760746888816E-13</v>
      </c>
      <c r="H44" s="10">
        <f t="shared" ca="1" si="6"/>
        <v>0</v>
      </c>
      <c r="I44" s="10">
        <f t="shared" ca="1" si="2"/>
        <v>0</v>
      </c>
      <c r="J44" s="10">
        <f t="shared" ca="1" si="7"/>
        <v>0</v>
      </c>
    </row>
    <row r="45" spans="1:10">
      <c r="A45" s="16">
        <v>26</v>
      </c>
      <c r="B45" s="10">
        <f t="shared" si="0"/>
        <v>2793.0703887678383</v>
      </c>
      <c r="C45" s="10">
        <f t="shared" si="1"/>
        <v>4.7008268159020075</v>
      </c>
      <c r="D45" s="10">
        <f t="shared" si="3"/>
        <v>27.425700773366483</v>
      </c>
      <c r="E45" s="5">
        <f t="shared" si="4"/>
        <v>32.126527589268491</v>
      </c>
      <c r="F45" s="19">
        <v>26</v>
      </c>
      <c r="G45" s="10">
        <f t="shared" ca="1" si="5"/>
        <v>-6.2527760746888816E-13</v>
      </c>
      <c r="H45" s="10">
        <f t="shared" ca="1" si="6"/>
        <v>0</v>
      </c>
      <c r="I45" s="10">
        <f t="shared" ca="1" si="2"/>
        <v>0</v>
      </c>
      <c r="J45" s="10">
        <f t="shared" ca="1" si="7"/>
        <v>0</v>
      </c>
    </row>
    <row r="46" spans="1:10">
      <c r="A46" s="16">
        <v>27</v>
      </c>
      <c r="B46" s="10">
        <f t="shared" si="0"/>
        <v>2765.598978493183</v>
      </c>
      <c r="C46" s="10">
        <f t="shared" si="1"/>
        <v>4.6551173146130642</v>
      </c>
      <c r="D46" s="10">
        <f t="shared" si="3"/>
        <v>27.471410274655426</v>
      </c>
      <c r="E46" s="5">
        <f t="shared" si="4"/>
        <v>32.126527589268491</v>
      </c>
      <c r="F46" s="19">
        <v>27</v>
      </c>
      <c r="G46" s="10">
        <f t="shared" ca="1" si="5"/>
        <v>-6.2527760746888816E-13</v>
      </c>
      <c r="H46" s="10">
        <f t="shared" ca="1" si="6"/>
        <v>0</v>
      </c>
      <c r="I46" s="10">
        <f t="shared" ca="1" si="2"/>
        <v>0</v>
      </c>
      <c r="J46" s="10">
        <f t="shared" ca="1" si="7"/>
        <v>0</v>
      </c>
    </row>
    <row r="47" spans="1:10">
      <c r="A47" s="16">
        <v>28</v>
      </c>
      <c r="B47" s="10">
        <f t="shared" si="0"/>
        <v>2738.0817825347367</v>
      </c>
      <c r="C47" s="10">
        <f t="shared" si="1"/>
        <v>4.6093316308219716</v>
      </c>
      <c r="D47" s="10">
        <f t="shared" si="3"/>
        <v>27.517195958446521</v>
      </c>
      <c r="E47" s="5">
        <f t="shared" si="4"/>
        <v>32.126527589268491</v>
      </c>
      <c r="F47" s="19">
        <v>28</v>
      </c>
      <c r="G47" s="10">
        <f t="shared" ca="1" si="5"/>
        <v>-6.2527760746888816E-13</v>
      </c>
      <c r="H47" s="10">
        <f t="shared" ca="1" si="6"/>
        <v>0</v>
      </c>
      <c r="I47" s="10">
        <f t="shared" ca="1" si="2"/>
        <v>0</v>
      </c>
      <c r="J47" s="10">
        <f t="shared" ca="1" si="7"/>
        <v>0</v>
      </c>
    </row>
    <row r="48" spans="1:10">
      <c r="A48" s="16">
        <v>29</v>
      </c>
      <c r="B48" s="10">
        <f t="shared" si="0"/>
        <v>2710.5187245830261</v>
      </c>
      <c r="C48" s="10">
        <f t="shared" si="1"/>
        <v>4.5634696375578949</v>
      </c>
      <c r="D48" s="10">
        <f t="shared" si="3"/>
        <v>27.563057951710597</v>
      </c>
      <c r="E48" s="5">
        <f t="shared" si="4"/>
        <v>32.126527589268491</v>
      </c>
      <c r="F48" s="19">
        <v>29</v>
      </c>
      <c r="G48" s="10">
        <f t="shared" ca="1" si="5"/>
        <v>-6.2527760746888816E-13</v>
      </c>
      <c r="H48" s="10">
        <f t="shared" ca="1" si="6"/>
        <v>0</v>
      </c>
      <c r="I48" s="10">
        <f t="shared" ca="1" si="2"/>
        <v>0</v>
      </c>
      <c r="J48" s="10">
        <f t="shared" ca="1" si="7"/>
        <v>0</v>
      </c>
    </row>
    <row r="49" spans="1:10">
      <c r="A49" s="16">
        <v>30</v>
      </c>
      <c r="B49" s="10">
        <f t="shared" si="0"/>
        <v>2682.9097282013959</v>
      </c>
      <c r="C49" s="10">
        <f t="shared" si="1"/>
        <v>4.5175312076383767</v>
      </c>
      <c r="D49" s="10">
        <f t="shared" si="3"/>
        <v>27.608996381630114</v>
      </c>
      <c r="E49" s="5">
        <f t="shared" si="4"/>
        <v>32.126527589268491</v>
      </c>
      <c r="F49" s="19">
        <v>30</v>
      </c>
      <c r="G49" s="10">
        <f t="shared" ca="1" si="5"/>
        <v>-6.2527760746888816E-13</v>
      </c>
      <c r="H49" s="10">
        <f t="shared" ca="1" si="6"/>
        <v>0</v>
      </c>
      <c r="I49" s="10">
        <f t="shared" ca="1" si="2"/>
        <v>0</v>
      </c>
      <c r="J49" s="10">
        <f t="shared" ca="1" si="7"/>
        <v>0</v>
      </c>
    </row>
    <row r="50" spans="1:10">
      <c r="A50" s="16">
        <v>31</v>
      </c>
      <c r="B50" s="10">
        <f t="shared" si="0"/>
        <v>2655.2547168257965</v>
      </c>
      <c r="C50" s="10">
        <f t="shared" si="1"/>
        <v>4.471516213668993</v>
      </c>
      <c r="D50" s="10">
        <f t="shared" si="3"/>
        <v>27.6550113755995</v>
      </c>
      <c r="E50" s="5">
        <f t="shared" si="4"/>
        <v>32.126527589268491</v>
      </c>
      <c r="F50" s="6"/>
      <c r="G50" s="6"/>
      <c r="H50" s="6"/>
      <c r="I50" s="6"/>
      <c r="J50" s="6"/>
    </row>
    <row r="51" spans="1:10">
      <c r="A51" s="16">
        <v>32</v>
      </c>
      <c r="B51" s="10">
        <f t="shared" si="0"/>
        <v>2627.5536137645709</v>
      </c>
      <c r="C51" s="10">
        <f t="shared" si="1"/>
        <v>4.4254245280429947</v>
      </c>
      <c r="D51" s="10">
        <f t="shared" si="3"/>
        <v>27.701103061225496</v>
      </c>
      <c r="E51" s="5">
        <f t="shared" si="4"/>
        <v>32.126527589268491</v>
      </c>
      <c r="F51" s="6"/>
      <c r="G51" s="6"/>
      <c r="H51" s="12">
        <f ca="1">SUM(H20:H50)</f>
        <v>362.75414517660835</v>
      </c>
      <c r="I51" s="12">
        <f ca="1">SUM(I20:I50)</f>
        <v>3333.0000000000005</v>
      </c>
      <c r="J51" s="12">
        <f ca="1">SUM(J20:J50)</f>
        <v>3695.7541451766083</v>
      </c>
    </row>
    <row r="52" spans="1:10">
      <c r="A52" s="16">
        <v>33</v>
      </c>
      <c r="B52" s="10">
        <f t="shared" si="0"/>
        <v>2599.8063421982433</v>
      </c>
      <c r="C52" s="10">
        <f t="shared" si="1"/>
        <v>4.3792560229409512</v>
      </c>
      <c r="D52" s="10">
        <f t="shared" si="3"/>
        <v>27.747271566327541</v>
      </c>
      <c r="E52" s="5">
        <f t="shared" si="4"/>
        <v>32.126527589268491</v>
      </c>
      <c r="F52" s="6"/>
      <c r="G52" s="6"/>
      <c r="H52" s="6"/>
      <c r="I52" s="6"/>
      <c r="J52" s="6"/>
    </row>
    <row r="53" spans="1:10">
      <c r="A53" s="16">
        <v>34</v>
      </c>
      <c r="B53" s="10">
        <f t="shared" si="0"/>
        <v>2572.0128251793053</v>
      </c>
      <c r="C53" s="10">
        <f t="shared" si="1"/>
        <v>4.3330105703304058</v>
      </c>
      <c r="D53" s="10">
        <f t="shared" si="3"/>
        <v>27.793517018938086</v>
      </c>
      <c r="E53" s="5">
        <f t="shared" si="4"/>
        <v>32.126527589268491</v>
      </c>
      <c r="F53" s="6"/>
      <c r="G53" s="6"/>
      <c r="H53" s="6"/>
      <c r="I53" s="6"/>
      <c r="J53" s="6"/>
    </row>
    <row r="54" spans="1:10">
      <c r="A54" s="16">
        <v>35</v>
      </c>
      <c r="B54" s="10">
        <f t="shared" si="0"/>
        <v>2544.1729856320021</v>
      </c>
      <c r="C54" s="10">
        <f t="shared" si="1"/>
        <v>4.2866880419655091</v>
      </c>
      <c r="D54" s="10">
        <f t="shared" si="3"/>
        <v>27.839839547302983</v>
      </c>
      <c r="E54" s="5">
        <f t="shared" si="4"/>
        <v>32.126527589268491</v>
      </c>
      <c r="F54" s="6"/>
      <c r="G54" s="6"/>
      <c r="H54" s="6"/>
      <c r="I54" s="6"/>
      <c r="J54" s="6"/>
    </row>
    <row r="55" spans="1:10">
      <c r="A55" s="16">
        <v>36</v>
      </c>
      <c r="B55" s="10">
        <f t="shared" si="0"/>
        <v>2516.2867463521202</v>
      </c>
      <c r="C55" s="10">
        <f t="shared" si="1"/>
        <v>4.2402883093866706</v>
      </c>
      <c r="D55" s="10">
        <f t="shared" si="3"/>
        <v>27.886239279881821</v>
      </c>
      <c r="E55" s="5">
        <f t="shared" si="4"/>
        <v>32.126527589268491</v>
      </c>
      <c r="F55" s="6"/>
      <c r="G55" s="6"/>
      <c r="H55" s="6"/>
      <c r="I55" s="6"/>
      <c r="J55" s="6"/>
    </row>
    <row r="56" spans="1:10">
      <c r="A56" s="16">
        <v>37</v>
      </c>
      <c r="B56" s="10">
        <f t="shared" si="0"/>
        <v>2488.3540300067721</v>
      </c>
      <c r="C56" s="10">
        <f t="shared" si="1"/>
        <v>4.1938112439202007</v>
      </c>
      <c r="D56" s="10">
        <f t="shared" si="3"/>
        <v>27.93271634534829</v>
      </c>
      <c r="E56" s="5">
        <f t="shared" si="4"/>
        <v>32.126527589268491</v>
      </c>
      <c r="F56" s="6"/>
      <c r="G56" s="6"/>
      <c r="H56" s="6"/>
      <c r="I56" s="6"/>
      <c r="J56" s="6"/>
    </row>
    <row r="57" spans="1:10">
      <c r="A57" s="16">
        <v>38</v>
      </c>
      <c r="B57" s="10">
        <f t="shared" si="0"/>
        <v>2460.3747591341817</v>
      </c>
      <c r="C57" s="10">
        <f t="shared" si="1"/>
        <v>4.1472567166779539</v>
      </c>
      <c r="D57" s="10">
        <f t="shared" si="3"/>
        <v>27.979270872590536</v>
      </c>
      <c r="E57" s="5">
        <f t="shared" si="4"/>
        <v>32.126527589268491</v>
      </c>
      <c r="F57" s="6"/>
      <c r="G57" s="6"/>
      <c r="H57" s="6"/>
      <c r="I57" s="6"/>
      <c r="J57" s="6"/>
    </row>
    <row r="58" spans="1:10">
      <c r="A58" s="16">
        <v>39</v>
      </c>
      <c r="B58" s="10">
        <f t="shared" si="0"/>
        <v>2432.3488561434701</v>
      </c>
      <c r="C58" s="10">
        <f t="shared" si="1"/>
        <v>4.10062459855697</v>
      </c>
      <c r="D58" s="10">
        <f t="shared" si="3"/>
        <v>28.025902990711522</v>
      </c>
      <c r="E58" s="5">
        <f t="shared" si="4"/>
        <v>32.126527589268491</v>
      </c>
      <c r="F58" s="6"/>
      <c r="G58" s="6"/>
      <c r="H58" s="6"/>
      <c r="I58" s="6"/>
      <c r="J58" s="6"/>
    </row>
    <row r="59" spans="1:10">
      <c r="A59" s="16">
        <v>40</v>
      </c>
      <c r="B59" s="10">
        <f t="shared" si="0"/>
        <v>2404.2762433144408</v>
      </c>
      <c r="C59" s="10">
        <f t="shared" si="1"/>
        <v>4.0539147602391168</v>
      </c>
      <c r="D59" s="10">
        <f t="shared" si="3"/>
        <v>28.072612829029374</v>
      </c>
      <c r="E59" s="5">
        <f t="shared" si="4"/>
        <v>32.126527589268491</v>
      </c>
      <c r="F59" s="6"/>
      <c r="G59" s="6"/>
      <c r="H59" s="6"/>
      <c r="I59" s="6"/>
      <c r="J59" s="6"/>
    </row>
    <row r="60" spans="1:10">
      <c r="A60" s="16">
        <v>41</v>
      </c>
      <c r="B60" s="10">
        <f t="shared" si="0"/>
        <v>2376.156842797363</v>
      </c>
      <c r="C60" s="10">
        <f t="shared" si="1"/>
        <v>4.0071270721907348</v>
      </c>
      <c r="D60" s="10">
        <f t="shared" si="3"/>
        <v>28.119400517077757</v>
      </c>
      <c r="E60" s="5">
        <f t="shared" si="4"/>
        <v>32.126527589268491</v>
      </c>
      <c r="F60" s="6"/>
      <c r="G60" s="6"/>
      <c r="H60" s="6"/>
      <c r="I60" s="6"/>
      <c r="J60" s="6"/>
    </row>
    <row r="61" spans="1:10">
      <c r="A61" s="16">
        <v>42</v>
      </c>
      <c r="B61" s="10">
        <f t="shared" si="0"/>
        <v>2347.9905766127567</v>
      </c>
      <c r="C61" s="10">
        <f t="shared" si="1"/>
        <v>3.9602614046622713</v>
      </c>
      <c r="D61" s="10">
        <f t="shared" si="3"/>
        <v>28.166266184606219</v>
      </c>
      <c r="E61" s="5">
        <f t="shared" si="4"/>
        <v>32.126527589268491</v>
      </c>
      <c r="F61" s="6"/>
      <c r="G61" s="6"/>
      <c r="H61" s="6"/>
      <c r="I61" s="6"/>
      <c r="J61" s="6"/>
    </row>
    <row r="62" spans="1:10">
      <c r="A62" s="16">
        <v>43</v>
      </c>
      <c r="B62" s="10">
        <f t="shared" si="0"/>
        <v>2319.7773666511762</v>
      </c>
      <c r="C62" s="10">
        <f t="shared" si="1"/>
        <v>3.913317627687928</v>
      </c>
      <c r="D62" s="10">
        <f t="shared" si="3"/>
        <v>28.213209961580564</v>
      </c>
      <c r="E62" s="5">
        <f t="shared" si="4"/>
        <v>32.126527589268491</v>
      </c>
      <c r="F62" s="6"/>
      <c r="G62" s="6"/>
      <c r="H62" s="6"/>
      <c r="I62" s="6"/>
      <c r="J62" s="6"/>
    </row>
    <row r="63" spans="1:10">
      <c r="A63" s="16">
        <v>44</v>
      </c>
      <c r="B63" s="10">
        <f t="shared" si="0"/>
        <v>2291.5171346729931</v>
      </c>
      <c r="C63" s="10">
        <f t="shared" si="1"/>
        <v>3.8662956110852935</v>
      </c>
      <c r="D63" s="10">
        <f t="shared" si="3"/>
        <v>28.260231978183199</v>
      </c>
      <c r="E63" s="5">
        <f t="shared" si="4"/>
        <v>32.126527589268491</v>
      </c>
      <c r="F63" s="6"/>
      <c r="G63" s="6"/>
      <c r="H63" s="6"/>
      <c r="I63" s="6"/>
      <c r="J63" s="6"/>
    </row>
    <row r="64" spans="1:10">
      <c r="A64" s="16">
        <v>45</v>
      </c>
      <c r="B64" s="10">
        <f t="shared" si="0"/>
        <v>2263.2098023081794</v>
      </c>
      <c r="C64" s="10">
        <f t="shared" si="1"/>
        <v>3.8191952244549885</v>
      </c>
      <c r="D64" s="10">
        <f t="shared" si="3"/>
        <v>28.307332364813504</v>
      </c>
      <c r="E64" s="5">
        <f t="shared" si="4"/>
        <v>32.126527589268491</v>
      </c>
      <c r="F64" s="6"/>
      <c r="G64" s="6"/>
      <c r="H64" s="6"/>
      <c r="I64" s="6"/>
      <c r="J64" s="6"/>
    </row>
    <row r="65" spans="1:10">
      <c r="A65" s="16">
        <v>46</v>
      </c>
      <c r="B65" s="10">
        <f t="shared" si="0"/>
        <v>2234.8552910560911</v>
      </c>
      <c r="C65" s="10">
        <f t="shared" si="1"/>
        <v>3.7720163371802991</v>
      </c>
      <c r="D65" s="10">
        <f t="shared" si="3"/>
        <v>28.354511252088191</v>
      </c>
      <c r="E65" s="5">
        <f t="shared" si="4"/>
        <v>32.126527589268491</v>
      </c>
      <c r="F65" s="6"/>
      <c r="G65" s="6"/>
      <c r="H65" s="6"/>
      <c r="I65" s="6"/>
      <c r="J65" s="6"/>
    </row>
    <row r="66" spans="1:10">
      <c r="A66" s="16">
        <v>47</v>
      </c>
      <c r="B66" s="10">
        <f t="shared" si="0"/>
        <v>2206.4535222852496</v>
      </c>
      <c r="C66" s="10">
        <f t="shared" si="1"/>
        <v>3.7247588184268188</v>
      </c>
      <c r="D66" s="10">
        <f t="shared" si="3"/>
        <v>28.401768770841674</v>
      </c>
      <c r="E66" s="5">
        <f t="shared" si="4"/>
        <v>32.126527589268491</v>
      </c>
      <c r="F66" s="6"/>
      <c r="G66" s="6"/>
      <c r="H66" s="6"/>
      <c r="I66" s="6"/>
      <c r="J66" s="6"/>
    </row>
    <row r="67" spans="1:10">
      <c r="A67" s="16">
        <v>48</v>
      </c>
      <c r="B67" s="10">
        <f t="shared" si="0"/>
        <v>2178.0044172331231</v>
      </c>
      <c r="C67" s="10">
        <f t="shared" si="1"/>
        <v>3.6774225371420823</v>
      </c>
      <c r="D67" s="10">
        <f t="shared" si="3"/>
        <v>28.449105052126409</v>
      </c>
      <c r="E67" s="5">
        <f t="shared" si="4"/>
        <v>32.126527589268491</v>
      </c>
      <c r="F67" s="6"/>
      <c r="G67" s="6"/>
      <c r="H67" s="6"/>
      <c r="I67" s="6"/>
      <c r="J67" s="6"/>
    </row>
    <row r="68" spans="1:10">
      <c r="A68" s="16">
        <v>49</v>
      </c>
      <c r="B68" s="10">
        <f t="shared" si="0"/>
        <v>2149.5078970059099</v>
      </c>
      <c r="C68" s="10">
        <f t="shared" si="1"/>
        <v>3.6300073620552049</v>
      </c>
      <c r="D68" s="10">
        <f t="shared" si="3"/>
        <v>28.496520227213285</v>
      </c>
      <c r="E68" s="5">
        <f t="shared" si="4"/>
        <v>32.126527589268491</v>
      </c>
      <c r="F68" s="6"/>
      <c r="G68" s="6"/>
      <c r="H68" s="6"/>
      <c r="I68" s="6"/>
      <c r="J68" s="6"/>
    </row>
    <row r="69" spans="1:10">
      <c r="A69" s="16">
        <v>50</v>
      </c>
      <c r="B69" s="10">
        <f t="shared" si="0"/>
        <v>2120.9638825783177</v>
      </c>
      <c r="C69" s="10">
        <f t="shared" si="1"/>
        <v>3.5825131616765162</v>
      </c>
      <c r="D69" s="10">
        <f t="shared" si="3"/>
        <v>28.544014427591975</v>
      </c>
      <c r="E69" s="5">
        <f t="shared" si="4"/>
        <v>32.126527589268491</v>
      </c>
      <c r="F69" s="6"/>
      <c r="G69" s="6"/>
      <c r="H69" s="6"/>
      <c r="I69" s="6"/>
      <c r="J69" s="6"/>
    </row>
    <row r="70" spans="1:10">
      <c r="A70" s="16">
        <v>51</v>
      </c>
      <c r="B70" s="10">
        <f t="shared" si="0"/>
        <v>2092.3722947933466</v>
      </c>
      <c r="C70" s="10">
        <f t="shared" si="1"/>
        <v>3.534939804297196</v>
      </c>
      <c r="D70" s="10">
        <f t="shared" si="3"/>
        <v>28.591587784971296</v>
      </c>
      <c r="E70" s="5">
        <f t="shared" si="4"/>
        <v>32.126527589268491</v>
      </c>
      <c r="F70" s="6"/>
      <c r="G70" s="6"/>
      <c r="H70" s="6"/>
      <c r="I70" s="6"/>
      <c r="J70" s="6"/>
    </row>
    <row r="71" spans="1:10">
      <c r="A71" s="16">
        <v>52</v>
      </c>
      <c r="B71" s="10">
        <f t="shared" si="0"/>
        <v>2063.7330543620669</v>
      </c>
      <c r="C71" s="10">
        <f t="shared" si="1"/>
        <v>3.4872871579889111</v>
      </c>
      <c r="D71" s="10">
        <f t="shared" si="3"/>
        <v>28.639240431279582</v>
      </c>
      <c r="E71" s="5">
        <f t="shared" si="4"/>
        <v>32.126527589268491</v>
      </c>
      <c r="F71" s="6"/>
      <c r="G71" s="6"/>
      <c r="H71" s="6"/>
      <c r="I71" s="6"/>
      <c r="J71" s="6"/>
    </row>
    <row r="72" spans="1:10">
      <c r="A72" s="16">
        <v>53</v>
      </c>
      <c r="B72" s="10">
        <f t="shared" si="0"/>
        <v>2035.0460818634019</v>
      </c>
      <c r="C72" s="10">
        <f t="shared" si="1"/>
        <v>3.4395550906034451</v>
      </c>
      <c r="D72" s="10">
        <f t="shared" si="3"/>
        <v>28.686972498665046</v>
      </c>
      <c r="E72" s="5">
        <f t="shared" si="4"/>
        <v>32.126527589268491</v>
      </c>
      <c r="F72" s="6"/>
      <c r="G72" s="6"/>
      <c r="H72" s="6"/>
      <c r="I72" s="6"/>
      <c r="J72" s="6"/>
    </row>
    <row r="73" spans="1:10">
      <c r="A73" s="16">
        <v>54</v>
      </c>
      <c r="B73" s="10">
        <f t="shared" si="0"/>
        <v>2006.3112977439057</v>
      </c>
      <c r="C73" s="10">
        <f t="shared" si="1"/>
        <v>3.3917434697723365</v>
      </c>
      <c r="D73" s="10">
        <f t="shared" si="3"/>
        <v>28.734784119496155</v>
      </c>
      <c r="E73" s="5">
        <f t="shared" si="4"/>
        <v>32.126527589268491</v>
      </c>
      <c r="F73" s="6"/>
      <c r="G73" s="6"/>
      <c r="H73" s="6"/>
      <c r="I73" s="6"/>
      <c r="J73" s="6"/>
    </row>
    <row r="74" spans="1:10">
      <c r="A74" s="16">
        <v>55</v>
      </c>
      <c r="B74" s="10">
        <f t="shared" si="0"/>
        <v>1977.5286223175437</v>
      </c>
      <c r="C74" s="10">
        <f t="shared" si="1"/>
        <v>3.3438521629065097</v>
      </c>
      <c r="D74" s="10">
        <f t="shared" si="3"/>
        <v>28.782675426361983</v>
      </c>
      <c r="E74" s="5">
        <f t="shared" si="4"/>
        <v>32.126527589268491</v>
      </c>
      <c r="F74" s="6"/>
      <c r="G74" s="6"/>
      <c r="H74" s="6"/>
      <c r="I74" s="6"/>
      <c r="J74" s="6"/>
    </row>
    <row r="75" spans="1:10">
      <c r="A75" s="16">
        <v>56</v>
      </c>
      <c r="B75" s="10">
        <f t="shared" si="0"/>
        <v>1948.6979757654713</v>
      </c>
      <c r="C75" s="10">
        <f t="shared" si="1"/>
        <v>3.2958810371959064</v>
      </c>
      <c r="D75" s="10">
        <f t="shared" si="3"/>
        <v>28.830646552072587</v>
      </c>
      <c r="E75" s="5">
        <f t="shared" si="4"/>
        <v>32.126527589268491</v>
      </c>
      <c r="F75" s="6"/>
      <c r="G75" s="6"/>
      <c r="H75" s="6"/>
      <c r="I75" s="6"/>
      <c r="J75" s="6"/>
    </row>
    <row r="76" spans="1:10">
      <c r="A76" s="16">
        <v>57</v>
      </c>
      <c r="B76" s="10">
        <f t="shared" si="0"/>
        <v>1919.8192781358118</v>
      </c>
      <c r="C76" s="10">
        <f t="shared" si="1"/>
        <v>3.2478299596091187</v>
      </c>
      <c r="D76" s="10">
        <f t="shared" si="3"/>
        <v>28.878697629659371</v>
      </c>
      <c r="E76" s="5">
        <f t="shared" si="4"/>
        <v>32.126527589268491</v>
      </c>
      <c r="F76" s="6"/>
      <c r="G76" s="6"/>
      <c r="H76" s="6"/>
      <c r="I76" s="6"/>
      <c r="J76" s="6"/>
    </row>
    <row r="77" spans="1:10">
      <c r="A77" s="16">
        <v>58</v>
      </c>
      <c r="B77" s="10">
        <f t="shared" si="0"/>
        <v>1890.8924493434363</v>
      </c>
      <c r="C77" s="10">
        <f t="shared" si="1"/>
        <v>3.1996987968930202</v>
      </c>
      <c r="D77" s="10">
        <f t="shared" si="3"/>
        <v>28.926828792375471</v>
      </c>
      <c r="E77" s="5">
        <f t="shared" si="4"/>
        <v>32.126527589268491</v>
      </c>
      <c r="F77" s="6"/>
      <c r="G77" s="6"/>
      <c r="H77" s="6"/>
      <c r="I77" s="6"/>
      <c r="J77" s="6"/>
    </row>
    <row r="78" spans="1:10">
      <c r="A78" s="16">
        <v>59</v>
      </c>
      <c r="B78" s="10">
        <f t="shared" si="0"/>
        <v>1861.9174091697403</v>
      </c>
      <c r="C78" s="10">
        <f t="shared" si="1"/>
        <v>3.1514874155723938</v>
      </c>
      <c r="D78" s="10">
        <f t="shared" si="3"/>
        <v>28.975040173696097</v>
      </c>
      <c r="E78" s="5">
        <f t="shared" si="4"/>
        <v>32.126527589268491</v>
      </c>
      <c r="F78" s="6"/>
      <c r="G78" s="6"/>
      <c r="H78" s="6"/>
      <c r="I78" s="6"/>
      <c r="J78" s="6"/>
    </row>
    <row r="79" spans="1:10">
      <c r="A79" s="16">
        <v>60</v>
      </c>
      <c r="B79" s="10">
        <f t="shared" si="0"/>
        <v>1832.8940772624214</v>
      </c>
      <c r="C79" s="10">
        <f t="shared" si="1"/>
        <v>3.103195681949567</v>
      </c>
      <c r="D79" s="10">
        <f t="shared" si="3"/>
        <v>29.023331907318923</v>
      </c>
      <c r="E79" s="5">
        <f t="shared" si="4"/>
        <v>32.126527589268491</v>
      </c>
      <c r="F79" s="6"/>
      <c r="G79" s="6"/>
      <c r="H79" s="6"/>
      <c r="I79" s="6"/>
      <c r="J79" s="6"/>
    </row>
    <row r="80" spans="1:10">
      <c r="A80" s="16">
        <v>61</v>
      </c>
      <c r="B80" s="10">
        <f t="shared" si="0"/>
        <v>1803.8223731352571</v>
      </c>
      <c r="C80" s="10">
        <f t="shared" si="1"/>
        <v>3.0548234621040358</v>
      </c>
      <c r="D80" s="10">
        <f t="shared" si="3"/>
        <v>29.071704127164455</v>
      </c>
      <c r="E80" s="5">
        <f t="shared" si="4"/>
        <v>32.126527589268491</v>
      </c>
      <c r="F80" s="6"/>
      <c r="G80" s="6"/>
      <c r="H80" s="6"/>
      <c r="I80" s="6"/>
      <c r="J80" s="6"/>
    </row>
    <row r="81" spans="1:10">
      <c r="A81" s="16">
        <v>62</v>
      </c>
      <c r="B81" s="10">
        <f t="shared" si="0"/>
        <v>1774.7022161678806</v>
      </c>
      <c r="C81" s="10">
        <f t="shared" si="1"/>
        <v>3.0063706218920951</v>
      </c>
      <c r="D81" s="10">
        <f t="shared" si="3"/>
        <v>29.120156967376396</v>
      </c>
      <c r="E81" s="5">
        <f t="shared" si="4"/>
        <v>32.126527589268491</v>
      </c>
      <c r="F81" s="6"/>
      <c r="G81" s="6"/>
      <c r="H81" s="6"/>
      <c r="I81" s="6"/>
      <c r="J81" s="6"/>
    </row>
    <row r="82" spans="1:10">
      <c r="A82" s="16">
        <v>63</v>
      </c>
      <c r="B82" s="10">
        <f t="shared" si="0"/>
        <v>1745.5335256055585</v>
      </c>
      <c r="C82" s="10">
        <f t="shared" si="1"/>
        <v>2.9578370269464678</v>
      </c>
      <c r="D82" s="10">
        <f t="shared" si="3"/>
        <v>29.168690562322023</v>
      </c>
      <c r="E82" s="5">
        <f t="shared" si="4"/>
        <v>32.126527589268491</v>
      </c>
      <c r="F82" s="6"/>
      <c r="G82" s="6"/>
      <c r="H82" s="6"/>
      <c r="I82" s="6"/>
      <c r="J82" s="6"/>
    </row>
    <row r="83" spans="1:10">
      <c r="A83" s="16">
        <v>64</v>
      </c>
      <c r="B83" s="10">
        <f t="shared" si="0"/>
        <v>1716.3162205589658</v>
      </c>
      <c r="C83" s="10">
        <f t="shared" si="1"/>
        <v>2.9092225426759306</v>
      </c>
      <c r="D83" s="10">
        <f t="shared" si="3"/>
        <v>29.217305046592561</v>
      </c>
      <c r="E83" s="5">
        <f t="shared" si="4"/>
        <v>32.126527589268491</v>
      </c>
      <c r="F83" s="6"/>
      <c r="G83" s="6"/>
      <c r="H83" s="6"/>
      <c r="I83" s="6"/>
      <c r="J83" s="6"/>
    </row>
    <row r="84" spans="1:10">
      <c r="A84" s="16">
        <v>65</v>
      </c>
      <c r="B84" s="10">
        <f t="shared" ref="B84:B147" si="8">IF(A84&lt;=$D$5*12,B83-D84,0)</f>
        <v>1687.0502200039623</v>
      </c>
      <c r="C84" s="10">
        <f t="shared" ref="C84:C147" si="9">IF(A84&lt;=$D$5*12,B83*$D$6/12,0)</f>
        <v>2.8605270342649427</v>
      </c>
      <c r="D84" s="10">
        <f t="shared" si="3"/>
        <v>29.266000555003547</v>
      </c>
      <c r="E84" s="5">
        <f t="shared" si="4"/>
        <v>32.126527589268491</v>
      </c>
      <c r="F84" s="6"/>
      <c r="G84" s="6"/>
      <c r="H84" s="6"/>
      <c r="I84" s="6"/>
      <c r="J84" s="6"/>
    </row>
    <row r="85" spans="1:10">
      <c r="A85" s="16">
        <v>66</v>
      </c>
      <c r="B85" s="10">
        <f t="shared" si="8"/>
        <v>1657.7354427813671</v>
      </c>
      <c r="C85" s="10">
        <f t="shared" si="9"/>
        <v>2.8117503666732708</v>
      </c>
      <c r="D85" s="10">
        <f t="shared" ref="D85:D148" si="10">IF($D$3="Annuitätendarlehen",IF(A85&lt;=$D$5*12,E85-C85,0),IF($D$3="Ratendarlehen",IF(AND(A85&lt;=$D$5*12,A85&gt;$D$7),$D$4/($D$5*12-$D$7),0),IF($D$3="Restwertdarlehen",IF(A85=$D$5*12,$D$4,0),0)))</f>
        <v>29.314777222595222</v>
      </c>
      <c r="E85" s="5">
        <f t="shared" ref="E85:E148" si="11">IF($D$3="Annuitätendarlehen",IF(AND(A85&lt;=$D$5*12,A85&gt;$D$7),PMT($D$6/12,$D$5*12-$D$7,-$D$4,$D$8,0),IF(A85&lt;=$D$7,C85,0)),IF($D$3="Ratendarlehen",IF(AND(A85&lt;=$D$5*12,A85&gt;$D$7),$D$4/($D$5*12-$D$7)+C85,IF(A85&lt;=$D$7,C85,0)),IF(AND($D$3="Restwertdarlehen",A85&lt;=$D$5*12),C85+D85,0)))</f>
        <v>32.126527589268491</v>
      </c>
      <c r="F85" s="6"/>
      <c r="G85" s="6"/>
      <c r="H85" s="6"/>
      <c r="I85" s="6"/>
      <c r="J85" s="6"/>
    </row>
    <row r="86" spans="1:10">
      <c r="A86" s="16">
        <v>67</v>
      </c>
      <c r="B86" s="10">
        <f t="shared" si="8"/>
        <v>1628.3718075967342</v>
      </c>
      <c r="C86" s="10">
        <f t="shared" si="9"/>
        <v>2.7628924046356116</v>
      </c>
      <c r="D86" s="10">
        <f t="shared" si="10"/>
        <v>29.36363518463288</v>
      </c>
      <c r="E86" s="5">
        <f t="shared" si="11"/>
        <v>32.126527589268491</v>
      </c>
      <c r="F86" s="6"/>
      <c r="G86" s="6"/>
      <c r="H86" s="6"/>
      <c r="I86" s="6"/>
      <c r="J86" s="6"/>
    </row>
    <row r="87" spans="1:10">
      <c r="A87" s="16">
        <v>68</v>
      </c>
      <c r="B87" s="10">
        <f t="shared" si="8"/>
        <v>1598.9592330201269</v>
      </c>
      <c r="C87" s="10">
        <f t="shared" si="9"/>
        <v>2.7139530126612237</v>
      </c>
      <c r="D87" s="10">
        <f t="shared" si="10"/>
        <v>29.412574576607266</v>
      </c>
      <c r="E87" s="5">
        <f t="shared" si="11"/>
        <v>32.126527589268491</v>
      </c>
      <c r="F87" s="6"/>
      <c r="G87" s="6"/>
      <c r="H87" s="6"/>
      <c r="I87" s="6"/>
      <c r="J87" s="6"/>
    </row>
    <row r="88" spans="1:10">
      <c r="A88" s="16">
        <v>69</v>
      </c>
      <c r="B88" s="10">
        <f t="shared" si="8"/>
        <v>1569.497637485892</v>
      </c>
      <c r="C88" s="10">
        <f t="shared" si="9"/>
        <v>2.6649320550335447</v>
      </c>
      <c r="D88" s="10">
        <f t="shared" si="10"/>
        <v>29.461595534234945</v>
      </c>
      <c r="E88" s="5">
        <f t="shared" si="11"/>
        <v>32.126527589268491</v>
      </c>
      <c r="F88" s="6"/>
      <c r="G88" s="6"/>
      <c r="H88" s="6"/>
      <c r="I88" s="6"/>
      <c r="J88" s="6"/>
    </row>
    <row r="89" spans="1:10">
      <c r="A89" s="16">
        <v>70</v>
      </c>
      <c r="B89" s="10">
        <f t="shared" si="8"/>
        <v>1539.9869392924334</v>
      </c>
      <c r="C89" s="10">
        <f t="shared" si="9"/>
        <v>2.6158293958098202</v>
      </c>
      <c r="D89" s="10">
        <f t="shared" si="10"/>
        <v>29.510698193458673</v>
      </c>
      <c r="E89" s="5">
        <f t="shared" si="11"/>
        <v>32.126527589268491</v>
      </c>
      <c r="F89" s="6"/>
      <c r="G89" s="6"/>
      <c r="H89" s="6"/>
      <c r="I89" s="6"/>
      <c r="J89" s="6"/>
    </row>
    <row r="90" spans="1:10">
      <c r="A90" s="16">
        <v>71</v>
      </c>
      <c r="B90" s="10">
        <f t="shared" si="8"/>
        <v>1510.4270566019857</v>
      </c>
      <c r="C90" s="10">
        <f t="shared" si="9"/>
        <v>2.5666448988207224</v>
      </c>
      <c r="D90" s="10">
        <f t="shared" si="10"/>
        <v>29.559882690447768</v>
      </c>
      <c r="E90" s="5">
        <f t="shared" si="11"/>
        <v>32.126527589268491</v>
      </c>
      <c r="F90" s="6"/>
      <c r="G90" s="6"/>
      <c r="H90" s="6"/>
      <c r="I90" s="6"/>
      <c r="J90" s="6"/>
    </row>
    <row r="91" spans="1:10">
      <c r="A91" s="16">
        <v>72</v>
      </c>
      <c r="B91" s="10">
        <f t="shared" si="8"/>
        <v>1480.8179074403872</v>
      </c>
      <c r="C91" s="10">
        <f t="shared" si="9"/>
        <v>2.5173784276699762</v>
      </c>
      <c r="D91" s="10">
        <f t="shared" si="10"/>
        <v>29.609149161598516</v>
      </c>
      <c r="E91" s="5">
        <f t="shared" si="11"/>
        <v>32.126527589268491</v>
      </c>
      <c r="F91" s="6"/>
      <c r="G91" s="6"/>
      <c r="H91" s="6"/>
      <c r="I91" s="6"/>
      <c r="J91" s="6"/>
    </row>
    <row r="92" spans="1:10">
      <c r="A92" s="16">
        <v>73</v>
      </c>
      <c r="B92" s="10">
        <f t="shared" si="8"/>
        <v>1451.1594096968527</v>
      </c>
      <c r="C92" s="10">
        <f t="shared" si="9"/>
        <v>2.4680298457339789</v>
      </c>
      <c r="D92" s="10">
        <f t="shared" si="10"/>
        <v>29.658497743534511</v>
      </c>
      <c r="E92" s="5">
        <f t="shared" si="11"/>
        <v>32.126527589268491</v>
      </c>
      <c r="F92" s="6"/>
      <c r="G92" s="6"/>
      <c r="H92" s="6"/>
      <c r="I92" s="6"/>
      <c r="J92" s="6"/>
    </row>
    <row r="93" spans="1:10">
      <c r="A93" s="16">
        <v>74</v>
      </c>
      <c r="B93" s="10">
        <f t="shared" si="8"/>
        <v>1421.4514811237457</v>
      </c>
      <c r="C93" s="10">
        <f t="shared" si="9"/>
        <v>2.418599016161421</v>
      </c>
      <c r="D93" s="10">
        <f t="shared" si="10"/>
        <v>29.707928573107068</v>
      </c>
      <c r="E93" s="5">
        <f t="shared" si="11"/>
        <v>32.126527589268491</v>
      </c>
      <c r="F93" s="6"/>
      <c r="G93" s="6"/>
      <c r="H93" s="6"/>
      <c r="I93" s="6"/>
      <c r="J93" s="6"/>
    </row>
    <row r="94" spans="1:10">
      <c r="A94" s="16">
        <v>75</v>
      </c>
      <c r="B94" s="10">
        <f t="shared" si="8"/>
        <v>1391.69403933635</v>
      </c>
      <c r="C94" s="10">
        <f t="shared" si="9"/>
        <v>2.3690858018729095</v>
      </c>
      <c r="D94" s="10">
        <f t="shared" si="10"/>
        <v>29.757441787395582</v>
      </c>
      <c r="E94" s="5">
        <f t="shared" si="11"/>
        <v>32.126527589268491</v>
      </c>
      <c r="F94" s="6"/>
      <c r="G94" s="6"/>
      <c r="H94" s="6"/>
      <c r="I94" s="6"/>
      <c r="J94" s="6"/>
    </row>
    <row r="95" spans="1:10">
      <c r="A95" s="16">
        <v>76</v>
      </c>
      <c r="B95" s="10">
        <f t="shared" si="8"/>
        <v>1361.887001812642</v>
      </c>
      <c r="C95" s="10">
        <f t="shared" si="9"/>
        <v>2.3194900655605832</v>
      </c>
      <c r="D95" s="10">
        <f t="shared" si="10"/>
        <v>29.807037523707908</v>
      </c>
      <c r="E95" s="5">
        <f t="shared" si="11"/>
        <v>32.126527589268491</v>
      </c>
      <c r="F95" s="6"/>
      <c r="G95" s="6"/>
      <c r="H95" s="6"/>
      <c r="I95" s="6"/>
      <c r="J95" s="6"/>
    </row>
    <row r="96" spans="1:10">
      <c r="A96" s="16">
        <v>77</v>
      </c>
      <c r="B96" s="10">
        <f t="shared" si="8"/>
        <v>1332.0302858930613</v>
      </c>
      <c r="C96" s="10">
        <f t="shared" si="9"/>
        <v>2.2698116696877366</v>
      </c>
      <c r="D96" s="10">
        <f t="shared" si="10"/>
        <v>29.856715919580754</v>
      </c>
      <c r="E96" s="5">
        <f t="shared" si="11"/>
        <v>32.126527589268491</v>
      </c>
      <c r="F96" s="6"/>
      <c r="G96" s="6"/>
      <c r="H96" s="6"/>
      <c r="I96" s="6"/>
      <c r="J96" s="6"/>
    </row>
    <row r="97" spans="1:10">
      <c r="A97" s="16">
        <v>78</v>
      </c>
      <c r="B97" s="10">
        <f t="shared" si="8"/>
        <v>1302.1238087802813</v>
      </c>
      <c r="C97" s="10">
        <f t="shared" si="9"/>
        <v>2.2200504764884355</v>
      </c>
      <c r="D97" s="10">
        <f t="shared" si="10"/>
        <v>29.906477112780056</v>
      </c>
      <c r="E97" s="5">
        <f t="shared" si="11"/>
        <v>32.126527589268491</v>
      </c>
      <c r="F97" s="6"/>
      <c r="G97" s="6"/>
      <c r="H97" s="6"/>
      <c r="I97" s="6"/>
      <c r="J97" s="6"/>
    </row>
    <row r="98" spans="1:10">
      <c r="A98" s="16">
        <v>79</v>
      </c>
      <c r="B98" s="10">
        <f t="shared" si="8"/>
        <v>1272.1674875389799</v>
      </c>
      <c r="C98" s="10">
        <f t="shared" si="9"/>
        <v>2.1702063479671354</v>
      </c>
      <c r="D98" s="10">
        <f t="shared" si="10"/>
        <v>29.956321241301357</v>
      </c>
      <c r="E98" s="5">
        <f t="shared" si="11"/>
        <v>32.126527589268491</v>
      </c>
      <c r="F98" s="6"/>
      <c r="G98" s="6"/>
      <c r="H98" s="6"/>
      <c r="I98" s="6"/>
      <c r="J98" s="6"/>
    </row>
    <row r="99" spans="1:10">
      <c r="A99" s="16">
        <v>80</v>
      </c>
      <c r="B99" s="10">
        <f t="shared" si="8"/>
        <v>1242.1612390956097</v>
      </c>
      <c r="C99" s="10">
        <f t="shared" si="9"/>
        <v>2.1202791458983001</v>
      </c>
      <c r="D99" s="10">
        <f t="shared" si="10"/>
        <v>30.00624844337019</v>
      </c>
      <c r="E99" s="5">
        <f t="shared" si="11"/>
        <v>32.126527589268491</v>
      </c>
      <c r="F99" s="6"/>
      <c r="G99" s="6"/>
      <c r="H99" s="6"/>
      <c r="I99" s="6"/>
      <c r="J99" s="6"/>
    </row>
    <row r="100" spans="1:10">
      <c r="A100" s="16">
        <v>81</v>
      </c>
      <c r="B100" s="10">
        <f t="shared" si="8"/>
        <v>1212.1049802381672</v>
      </c>
      <c r="C100" s="10">
        <f t="shared" si="9"/>
        <v>2.0702687318260162</v>
      </c>
      <c r="D100" s="10">
        <f t="shared" si="10"/>
        <v>30.056258857442476</v>
      </c>
      <c r="E100" s="5">
        <f t="shared" si="11"/>
        <v>32.126527589268491</v>
      </c>
      <c r="F100" s="6"/>
      <c r="G100" s="6"/>
      <c r="H100" s="6"/>
      <c r="I100" s="6"/>
      <c r="J100" s="6"/>
    </row>
    <row r="101" spans="1:10">
      <c r="A101" s="16">
        <v>82</v>
      </c>
      <c r="B101" s="10">
        <f t="shared" si="8"/>
        <v>1181.9986276159623</v>
      </c>
      <c r="C101" s="10">
        <f t="shared" si="9"/>
        <v>2.0201749670636118</v>
      </c>
      <c r="D101" s="10">
        <f t="shared" si="10"/>
        <v>30.106352622204881</v>
      </c>
      <c r="E101" s="5">
        <f t="shared" si="11"/>
        <v>32.126527589268491</v>
      </c>
      <c r="F101" s="6"/>
      <c r="G101" s="6"/>
      <c r="H101" s="6"/>
      <c r="I101" s="6"/>
      <c r="J101" s="6"/>
    </row>
    <row r="102" spans="1:10">
      <c r="A102" s="16">
        <v>83</v>
      </c>
      <c r="B102" s="10">
        <f t="shared" si="8"/>
        <v>1151.8420977393871</v>
      </c>
      <c r="C102" s="10">
        <f t="shared" si="9"/>
        <v>1.9699977126932706</v>
      </c>
      <c r="D102" s="10">
        <f t="shared" si="10"/>
        <v>30.15652987657522</v>
      </c>
      <c r="E102" s="5">
        <f t="shared" si="11"/>
        <v>32.126527589268491</v>
      </c>
      <c r="F102" s="6"/>
      <c r="G102" s="6"/>
      <c r="H102" s="6"/>
      <c r="I102" s="6"/>
      <c r="J102" s="6"/>
    </row>
    <row r="103" spans="1:10">
      <c r="A103" s="16">
        <v>84</v>
      </c>
      <c r="B103" s="10">
        <f t="shared" si="8"/>
        <v>1121.6353069796842</v>
      </c>
      <c r="C103" s="10">
        <f t="shared" si="9"/>
        <v>1.9197368295656452</v>
      </c>
      <c r="D103" s="10">
        <f t="shared" si="10"/>
        <v>30.206790759702844</v>
      </c>
      <c r="E103" s="5">
        <f t="shared" si="11"/>
        <v>32.126527589268491</v>
      </c>
      <c r="F103" s="6"/>
      <c r="G103" s="6"/>
      <c r="H103" s="6"/>
      <c r="I103" s="6"/>
      <c r="J103" s="6"/>
    </row>
    <row r="104" spans="1:10">
      <c r="A104" s="16">
        <v>85</v>
      </c>
      <c r="B104" s="10">
        <f t="shared" si="8"/>
        <v>1091.3781715687151</v>
      </c>
      <c r="C104" s="10">
        <f t="shared" si="9"/>
        <v>1.8693921782994736</v>
      </c>
      <c r="D104" s="10">
        <f t="shared" si="10"/>
        <v>30.257135410969017</v>
      </c>
      <c r="E104" s="5">
        <f t="shared" si="11"/>
        <v>32.126527589268491</v>
      </c>
      <c r="F104" s="6"/>
      <c r="G104" s="6"/>
      <c r="H104" s="6"/>
      <c r="I104" s="6"/>
      <c r="J104" s="6"/>
    </row>
    <row r="105" spans="1:10">
      <c r="A105" s="16">
        <v>86</v>
      </c>
      <c r="B105" s="10">
        <f t="shared" si="8"/>
        <v>1061.0706075987277</v>
      </c>
      <c r="C105" s="10">
        <f t="shared" si="9"/>
        <v>1.8189636192811918</v>
      </c>
      <c r="D105" s="10">
        <f t="shared" si="10"/>
        <v>30.307563969987299</v>
      </c>
      <c r="E105" s="5">
        <f t="shared" si="11"/>
        <v>32.126527589268491</v>
      </c>
      <c r="F105" s="6"/>
      <c r="G105" s="6"/>
      <c r="H105" s="6"/>
      <c r="I105" s="6"/>
      <c r="J105" s="6"/>
    </row>
    <row r="106" spans="1:10">
      <c r="A106" s="16">
        <v>87</v>
      </c>
      <c r="B106" s="10">
        <f t="shared" si="8"/>
        <v>1030.7125310221238</v>
      </c>
      <c r="C106" s="10">
        <f t="shared" si="9"/>
        <v>1.7684510126645463</v>
      </c>
      <c r="D106" s="10">
        <f t="shared" si="10"/>
        <v>30.358076576603946</v>
      </c>
      <c r="E106" s="5">
        <f t="shared" si="11"/>
        <v>32.126527589268491</v>
      </c>
      <c r="F106" s="6"/>
      <c r="G106" s="6"/>
      <c r="H106" s="6"/>
      <c r="I106" s="6"/>
      <c r="J106" s="6"/>
    </row>
    <row r="107" spans="1:10">
      <c r="A107" s="16">
        <v>88</v>
      </c>
      <c r="B107" s="10">
        <f t="shared" si="8"/>
        <v>1000.3038576512255</v>
      </c>
      <c r="C107" s="10">
        <f t="shared" si="9"/>
        <v>1.7178542183702064</v>
      </c>
      <c r="D107" s="10">
        <f t="shared" si="10"/>
        <v>30.408673370898285</v>
      </c>
      <c r="E107" s="5">
        <f t="shared" si="11"/>
        <v>32.126527589268491</v>
      </c>
      <c r="F107" s="6"/>
      <c r="G107" s="6"/>
      <c r="H107" s="6"/>
      <c r="I107" s="6"/>
      <c r="J107" s="6"/>
    </row>
    <row r="108" spans="1:10">
      <c r="A108" s="16">
        <v>89</v>
      </c>
      <c r="B108" s="10">
        <f t="shared" si="8"/>
        <v>969.84450315804236</v>
      </c>
      <c r="C108" s="10">
        <f t="shared" si="9"/>
        <v>1.6671730960853759</v>
      </c>
      <c r="D108" s="10">
        <f t="shared" si="10"/>
        <v>30.459354493183117</v>
      </c>
      <c r="E108" s="5">
        <f t="shared" si="11"/>
        <v>32.126527589268491</v>
      </c>
      <c r="F108" s="6"/>
      <c r="G108" s="6"/>
      <c r="H108" s="6"/>
      <c r="I108" s="6"/>
      <c r="J108" s="6"/>
    </row>
    <row r="109" spans="1:10">
      <c r="A109" s="16">
        <v>90</v>
      </c>
      <c r="B109" s="10">
        <f t="shared" si="8"/>
        <v>939.33438307403731</v>
      </c>
      <c r="C109" s="10">
        <f t="shared" si="9"/>
        <v>1.6164075052634039</v>
      </c>
      <c r="D109" s="10">
        <f t="shared" si="10"/>
        <v>30.510120084005088</v>
      </c>
      <c r="E109" s="5">
        <f t="shared" si="11"/>
        <v>32.126527589268491</v>
      </c>
      <c r="F109" s="6"/>
      <c r="G109" s="6"/>
      <c r="H109" s="6"/>
      <c r="I109" s="6"/>
      <c r="J109" s="6"/>
    </row>
    <row r="110" spans="1:10">
      <c r="A110" s="16">
        <v>91</v>
      </c>
      <c r="B110" s="10">
        <f t="shared" si="8"/>
        <v>908.77341278989218</v>
      </c>
      <c r="C110" s="10">
        <f t="shared" si="9"/>
        <v>1.5655573051233957</v>
      </c>
      <c r="D110" s="10">
        <f t="shared" si="10"/>
        <v>30.560970284145096</v>
      </c>
      <c r="E110" s="5">
        <f t="shared" si="11"/>
        <v>32.126527589268491</v>
      </c>
      <c r="F110" s="6"/>
      <c r="G110" s="6"/>
      <c r="H110" s="6"/>
      <c r="I110" s="6"/>
      <c r="J110" s="6"/>
    </row>
    <row r="111" spans="1:10">
      <c r="A111" s="16">
        <v>92</v>
      </c>
      <c r="B111" s="10">
        <f t="shared" si="8"/>
        <v>878.16150755527349</v>
      </c>
      <c r="C111" s="10">
        <f t="shared" si="9"/>
        <v>1.5146223546498205</v>
      </c>
      <c r="D111" s="10">
        <f t="shared" si="10"/>
        <v>30.611905234618671</v>
      </c>
      <c r="E111" s="5">
        <f t="shared" si="11"/>
        <v>32.126527589268491</v>
      </c>
      <c r="F111" s="6"/>
      <c r="G111" s="6"/>
      <c r="H111" s="6"/>
      <c r="I111" s="6"/>
      <c r="J111" s="6"/>
    </row>
    <row r="112" spans="1:10">
      <c r="A112" s="16">
        <v>93</v>
      </c>
      <c r="B112" s="10">
        <f t="shared" si="8"/>
        <v>847.49858247859709</v>
      </c>
      <c r="C112" s="10">
        <f t="shared" si="9"/>
        <v>1.4636025125921224</v>
      </c>
      <c r="D112" s="10">
        <f t="shared" si="10"/>
        <v>30.66292507667637</v>
      </c>
      <c r="E112" s="5">
        <f t="shared" si="11"/>
        <v>32.126527589268491</v>
      </c>
      <c r="F112" s="6"/>
      <c r="G112" s="6"/>
      <c r="H112" s="6"/>
      <c r="I112" s="6"/>
      <c r="J112" s="6"/>
    </row>
    <row r="113" spans="1:10">
      <c r="A113" s="16">
        <v>94</v>
      </c>
      <c r="B113" s="10">
        <f t="shared" si="8"/>
        <v>816.78455252679294</v>
      </c>
      <c r="C113" s="10">
        <f t="shared" si="9"/>
        <v>1.4124976374643285</v>
      </c>
      <c r="D113" s="10">
        <f t="shared" si="10"/>
        <v>30.714029951804164</v>
      </c>
      <c r="E113" s="5">
        <f t="shared" si="11"/>
        <v>32.126527589268491</v>
      </c>
      <c r="F113" s="6"/>
      <c r="G113" s="6"/>
      <c r="H113" s="6"/>
      <c r="I113" s="6"/>
      <c r="J113" s="6"/>
    </row>
    <row r="114" spans="1:10">
      <c r="A114" s="16">
        <v>95</v>
      </c>
      <c r="B114" s="10">
        <f t="shared" si="8"/>
        <v>786.0193325250691</v>
      </c>
      <c r="C114" s="10">
        <f t="shared" si="9"/>
        <v>1.361307587544655</v>
      </c>
      <c r="D114" s="10">
        <f t="shared" si="10"/>
        <v>30.765220001723836</v>
      </c>
      <c r="E114" s="5">
        <f t="shared" si="11"/>
        <v>32.126527589268491</v>
      </c>
      <c r="F114" s="6"/>
      <c r="G114" s="6"/>
      <c r="H114" s="6"/>
      <c r="I114" s="6"/>
      <c r="J114" s="6"/>
    </row>
    <row r="115" spans="1:10">
      <c r="A115" s="16">
        <v>96</v>
      </c>
      <c r="B115" s="10">
        <f t="shared" si="8"/>
        <v>755.20283715667574</v>
      </c>
      <c r="C115" s="10">
        <f t="shared" si="9"/>
        <v>1.3100322208751152</v>
      </c>
      <c r="D115" s="10">
        <f t="shared" si="10"/>
        <v>30.816495368393376</v>
      </c>
      <c r="E115" s="5">
        <f t="shared" si="11"/>
        <v>32.126527589268491</v>
      </c>
      <c r="F115" s="6"/>
      <c r="G115" s="6"/>
      <c r="H115" s="6"/>
      <c r="I115" s="6"/>
      <c r="J115" s="6"/>
    </row>
    <row r="116" spans="1:10">
      <c r="A116" s="16">
        <v>97</v>
      </c>
      <c r="B116" s="10">
        <f t="shared" si="8"/>
        <v>724.3349809626684</v>
      </c>
      <c r="C116" s="10">
        <f t="shared" si="9"/>
        <v>1.2586713952611264</v>
      </c>
      <c r="D116" s="10">
        <f t="shared" si="10"/>
        <v>30.867856194007366</v>
      </c>
      <c r="E116" s="5">
        <f t="shared" si="11"/>
        <v>32.126527589268491</v>
      </c>
      <c r="F116" s="6"/>
      <c r="G116" s="6"/>
      <c r="H116" s="6"/>
      <c r="I116" s="6"/>
      <c r="J116" s="6"/>
    </row>
    <row r="117" spans="1:10">
      <c r="A117" s="16">
        <v>98</v>
      </c>
      <c r="B117" s="10">
        <f t="shared" si="8"/>
        <v>693.41567834167097</v>
      </c>
      <c r="C117" s="10">
        <f t="shared" si="9"/>
        <v>1.207224968271114</v>
      </c>
      <c r="D117" s="10">
        <f t="shared" si="10"/>
        <v>30.919302620997378</v>
      </c>
      <c r="E117" s="5">
        <f t="shared" si="11"/>
        <v>32.126527589268491</v>
      </c>
      <c r="F117" s="6"/>
      <c r="G117" s="6"/>
      <c r="H117" s="6"/>
      <c r="I117" s="6"/>
      <c r="J117" s="6"/>
    </row>
    <row r="118" spans="1:10">
      <c r="A118" s="16">
        <v>99</v>
      </c>
      <c r="B118" s="10">
        <f t="shared" si="8"/>
        <v>662.44484354963856</v>
      </c>
      <c r="C118" s="10">
        <f t="shared" si="9"/>
        <v>1.1556927972361184</v>
      </c>
      <c r="D118" s="10">
        <f t="shared" si="10"/>
        <v>30.970834792032374</v>
      </c>
      <c r="E118" s="5">
        <f t="shared" si="11"/>
        <v>32.126527589268491</v>
      </c>
      <c r="F118" s="6"/>
      <c r="G118" s="6"/>
      <c r="H118" s="6"/>
      <c r="I118" s="6"/>
      <c r="J118" s="6"/>
    </row>
    <row r="119" spans="1:10">
      <c r="A119" s="16">
        <v>100</v>
      </c>
      <c r="B119" s="10">
        <f t="shared" si="8"/>
        <v>631.42239069961943</v>
      </c>
      <c r="C119" s="10">
        <f t="shared" si="9"/>
        <v>1.1040747392493977</v>
      </c>
      <c r="D119" s="10">
        <f t="shared" si="10"/>
        <v>31.022452850019093</v>
      </c>
      <c r="E119" s="5">
        <f t="shared" si="11"/>
        <v>32.126527589268491</v>
      </c>
      <c r="F119" s="6"/>
      <c r="G119" s="6"/>
      <c r="H119" s="6"/>
      <c r="I119" s="6"/>
      <c r="J119" s="6"/>
    </row>
    <row r="120" spans="1:10">
      <c r="A120" s="16">
        <v>101</v>
      </c>
      <c r="B120" s="10">
        <f t="shared" si="8"/>
        <v>600.34823376151701</v>
      </c>
      <c r="C120" s="10">
        <f t="shared" si="9"/>
        <v>1.0523706511660325</v>
      </c>
      <c r="D120" s="10">
        <f t="shared" si="10"/>
        <v>31.074156938102458</v>
      </c>
      <c r="E120" s="5">
        <f t="shared" si="11"/>
        <v>32.126527589268491</v>
      </c>
      <c r="F120" s="6"/>
      <c r="G120" s="6"/>
      <c r="H120" s="6"/>
      <c r="I120" s="6"/>
      <c r="J120" s="6"/>
    </row>
    <row r="121" spans="1:10">
      <c r="A121" s="16">
        <v>102</v>
      </c>
      <c r="B121" s="10">
        <f t="shared" si="8"/>
        <v>569.22228656185109</v>
      </c>
      <c r="C121" s="10">
        <f t="shared" si="9"/>
        <v>1.0005803896025285</v>
      </c>
      <c r="D121" s="10">
        <f t="shared" si="10"/>
        <v>31.125947199665962</v>
      </c>
      <c r="E121" s="5">
        <f t="shared" si="11"/>
        <v>32.126527589268491</v>
      </c>
      <c r="F121" s="6"/>
      <c r="G121" s="6"/>
      <c r="H121" s="6"/>
      <c r="I121" s="6"/>
      <c r="J121" s="6"/>
    </row>
    <row r="122" spans="1:10">
      <c r="A122" s="16">
        <v>103</v>
      </c>
      <c r="B122" s="10">
        <f t="shared" si="8"/>
        <v>538.04446278351907</v>
      </c>
      <c r="C122" s="10">
        <f t="shared" si="9"/>
        <v>0.94870381093641853</v>
      </c>
      <c r="D122" s="10">
        <f t="shared" si="10"/>
        <v>31.177823778332073</v>
      </c>
      <c r="E122" s="5">
        <f t="shared" si="11"/>
        <v>32.126527589268491</v>
      </c>
      <c r="F122" s="6"/>
      <c r="G122" s="6"/>
      <c r="H122" s="6"/>
      <c r="I122" s="6"/>
      <c r="J122" s="6"/>
    </row>
    <row r="123" spans="1:10">
      <c r="A123" s="16">
        <v>104</v>
      </c>
      <c r="B123" s="10">
        <f t="shared" si="8"/>
        <v>506.81467596555643</v>
      </c>
      <c r="C123" s="10">
        <f t="shared" si="9"/>
        <v>0.89674077130586516</v>
      </c>
      <c r="D123" s="10">
        <f t="shared" si="10"/>
        <v>31.229786817962626</v>
      </c>
      <c r="E123" s="5">
        <f t="shared" si="11"/>
        <v>32.126527589268491</v>
      </c>
      <c r="F123" s="6"/>
      <c r="G123" s="6"/>
      <c r="H123" s="6"/>
      <c r="I123" s="6"/>
      <c r="J123" s="6"/>
    </row>
    <row r="124" spans="1:10">
      <c r="A124" s="16">
        <v>105</v>
      </c>
      <c r="B124" s="10">
        <f t="shared" si="8"/>
        <v>475.53283950289722</v>
      </c>
      <c r="C124" s="10">
        <f t="shared" si="9"/>
        <v>0.84469112660926082</v>
      </c>
      <c r="D124" s="10">
        <f t="shared" si="10"/>
        <v>31.281836462659232</v>
      </c>
      <c r="E124" s="5">
        <f t="shared" si="11"/>
        <v>32.126527589268491</v>
      </c>
      <c r="F124" s="6"/>
      <c r="G124" s="6"/>
      <c r="H124" s="6"/>
      <c r="I124" s="6"/>
      <c r="J124" s="6"/>
    </row>
    <row r="125" spans="1:10">
      <c r="A125" s="16">
        <v>106</v>
      </c>
      <c r="B125" s="10">
        <f t="shared" si="8"/>
        <v>444.19886664613358</v>
      </c>
      <c r="C125" s="10">
        <f t="shared" si="9"/>
        <v>0.79255473250482877</v>
      </c>
      <c r="D125" s="10">
        <f t="shared" si="10"/>
        <v>31.333972856763662</v>
      </c>
      <c r="E125" s="5">
        <f t="shared" si="11"/>
        <v>32.126527589268491</v>
      </c>
      <c r="F125" s="6"/>
      <c r="G125" s="6"/>
      <c r="H125" s="6"/>
      <c r="I125" s="6"/>
      <c r="J125" s="6"/>
    </row>
    <row r="126" spans="1:10">
      <c r="A126" s="16">
        <v>107</v>
      </c>
      <c r="B126" s="10">
        <f t="shared" si="8"/>
        <v>412.81267050127531</v>
      </c>
      <c r="C126" s="10">
        <f t="shared" si="9"/>
        <v>0.74033144441022269</v>
      </c>
      <c r="D126" s="10">
        <f t="shared" si="10"/>
        <v>31.386196144858268</v>
      </c>
      <c r="E126" s="5">
        <f t="shared" si="11"/>
        <v>32.126527589268491</v>
      </c>
      <c r="F126" s="6"/>
      <c r="G126" s="6"/>
      <c r="H126" s="6"/>
      <c r="I126" s="6"/>
      <c r="J126" s="6"/>
    </row>
    <row r="127" spans="1:10">
      <c r="A127" s="16">
        <v>108</v>
      </c>
      <c r="B127" s="10">
        <f t="shared" si="8"/>
        <v>381.37416402950896</v>
      </c>
      <c r="C127" s="10">
        <f t="shared" si="9"/>
        <v>0.68802111750212547</v>
      </c>
      <c r="D127" s="10">
        <f t="shared" si="10"/>
        <v>31.438506471766367</v>
      </c>
      <c r="E127" s="5">
        <f t="shared" si="11"/>
        <v>32.126527589268491</v>
      </c>
      <c r="F127" s="6"/>
      <c r="G127" s="6"/>
      <c r="H127" s="6"/>
      <c r="I127" s="6"/>
      <c r="J127" s="6"/>
    </row>
    <row r="128" spans="1:10">
      <c r="A128" s="16">
        <v>109</v>
      </c>
      <c r="B128" s="10">
        <f t="shared" si="8"/>
        <v>349.88326004695631</v>
      </c>
      <c r="C128" s="10">
        <f t="shared" si="9"/>
        <v>0.63562360671584828</v>
      </c>
      <c r="D128" s="10">
        <f t="shared" si="10"/>
        <v>31.490903982552641</v>
      </c>
      <c r="E128" s="5">
        <f t="shared" si="11"/>
        <v>32.126527589268491</v>
      </c>
      <c r="F128" s="6"/>
      <c r="G128" s="6"/>
      <c r="H128" s="6"/>
      <c r="I128" s="6"/>
      <c r="J128" s="6"/>
    </row>
    <row r="129" spans="1:10">
      <c r="A129" s="16">
        <v>110</v>
      </c>
      <c r="B129" s="10">
        <f t="shared" si="8"/>
        <v>318.33987122443273</v>
      </c>
      <c r="C129" s="10">
        <f t="shared" si="9"/>
        <v>0.58313876674492715</v>
      </c>
      <c r="D129" s="10">
        <f t="shared" si="10"/>
        <v>31.543388822523564</v>
      </c>
      <c r="E129" s="5">
        <f t="shared" si="11"/>
        <v>32.126527589268491</v>
      </c>
      <c r="F129" s="6"/>
      <c r="G129" s="6"/>
      <c r="H129" s="6"/>
      <c r="I129" s="6"/>
      <c r="J129" s="6"/>
    </row>
    <row r="130" spans="1:10">
      <c r="A130" s="16">
        <v>111</v>
      </c>
      <c r="B130" s="10">
        <f t="shared" si="8"/>
        <v>286.74391008720494</v>
      </c>
      <c r="C130" s="10">
        <f t="shared" si="9"/>
        <v>0.53056645204072128</v>
      </c>
      <c r="D130" s="10">
        <f t="shared" si="10"/>
        <v>31.595961137227771</v>
      </c>
      <c r="E130" s="5">
        <f t="shared" si="11"/>
        <v>32.126527589268491</v>
      </c>
      <c r="F130" s="6"/>
      <c r="G130" s="6"/>
      <c r="H130" s="6"/>
      <c r="I130" s="6"/>
      <c r="J130" s="6"/>
    </row>
    <row r="131" spans="1:10">
      <c r="A131" s="16">
        <v>112</v>
      </c>
      <c r="B131" s="10">
        <f t="shared" si="8"/>
        <v>255.09528901474846</v>
      </c>
      <c r="C131" s="10">
        <f t="shared" si="9"/>
        <v>0.47790651681200824</v>
      </c>
      <c r="D131" s="10">
        <f t="shared" si="10"/>
        <v>31.648621072456482</v>
      </c>
      <c r="E131" s="5">
        <f t="shared" si="11"/>
        <v>32.126527589268491</v>
      </c>
      <c r="F131" s="6"/>
      <c r="G131" s="6"/>
      <c r="H131" s="6"/>
      <c r="I131" s="6"/>
      <c r="J131" s="6"/>
    </row>
    <row r="132" spans="1:10">
      <c r="A132" s="16">
        <v>113</v>
      </c>
      <c r="B132" s="10">
        <f t="shared" si="8"/>
        <v>223.39392024050454</v>
      </c>
      <c r="C132" s="10">
        <f t="shared" si="9"/>
        <v>0.42515881502458081</v>
      </c>
      <c r="D132" s="10">
        <f t="shared" si="10"/>
        <v>31.70136877424391</v>
      </c>
      <c r="E132" s="5">
        <f t="shared" si="11"/>
        <v>32.126527589268491</v>
      </c>
      <c r="F132" s="6"/>
      <c r="G132" s="6"/>
      <c r="H132" s="6"/>
      <c r="I132" s="6"/>
      <c r="J132" s="6"/>
    </row>
    <row r="133" spans="1:10">
      <c r="A133" s="16">
        <v>114</v>
      </c>
      <c r="B133" s="10">
        <f t="shared" si="8"/>
        <v>191.63971585163688</v>
      </c>
      <c r="C133" s="10">
        <f t="shared" si="9"/>
        <v>0.37232320040084094</v>
      </c>
      <c r="D133" s="10">
        <f t="shared" si="10"/>
        <v>31.754204388867649</v>
      </c>
      <c r="E133" s="5">
        <f t="shared" si="11"/>
        <v>32.126527589268491</v>
      </c>
      <c r="F133" s="6"/>
      <c r="G133" s="6"/>
      <c r="H133" s="6"/>
      <c r="I133" s="6"/>
      <c r="J133" s="6"/>
    </row>
    <row r="134" spans="1:10">
      <c r="A134" s="16">
        <v>115</v>
      </c>
      <c r="B134" s="10">
        <f t="shared" si="8"/>
        <v>159.83258778878778</v>
      </c>
      <c r="C134" s="10">
        <f t="shared" si="9"/>
        <v>0.31939952641939479</v>
      </c>
      <c r="D134" s="10">
        <f t="shared" si="10"/>
        <v>31.807128062849095</v>
      </c>
      <c r="E134" s="5">
        <f t="shared" si="11"/>
        <v>32.126527589268491</v>
      </c>
      <c r="F134" s="6"/>
      <c r="G134" s="6"/>
      <c r="H134" s="6"/>
      <c r="I134" s="6"/>
      <c r="J134" s="6"/>
    </row>
    <row r="135" spans="1:10">
      <c r="A135" s="16">
        <v>116</v>
      </c>
      <c r="B135" s="10">
        <f t="shared" si="8"/>
        <v>127.97244784583393</v>
      </c>
      <c r="C135" s="10">
        <f t="shared" si="9"/>
        <v>0.26638764631464629</v>
      </c>
      <c r="D135" s="10">
        <f t="shared" si="10"/>
        <v>31.860139942953843</v>
      </c>
      <c r="E135" s="5">
        <f t="shared" si="11"/>
        <v>32.126527589268491</v>
      </c>
      <c r="F135" s="6"/>
      <c r="G135" s="6"/>
      <c r="H135" s="6"/>
      <c r="I135" s="6"/>
      <c r="J135" s="6"/>
    </row>
    <row r="136" spans="1:10">
      <c r="A136" s="16">
        <v>117</v>
      </c>
      <c r="B136" s="10">
        <f t="shared" si="8"/>
        <v>96.059207669641822</v>
      </c>
      <c r="C136" s="10">
        <f t="shared" si="9"/>
        <v>0.21328741307638988</v>
      </c>
      <c r="D136" s="10">
        <f t="shared" si="10"/>
        <v>31.913240176192101</v>
      </c>
      <c r="E136" s="5">
        <f t="shared" si="11"/>
        <v>32.126527589268491</v>
      </c>
      <c r="F136" s="6"/>
      <c r="G136" s="6"/>
      <c r="H136" s="6"/>
      <c r="I136" s="6"/>
      <c r="J136" s="6"/>
    </row>
    <row r="137" spans="1:10">
      <c r="A137" s="16">
        <v>118</v>
      </c>
      <c r="B137" s="10">
        <f t="shared" si="8"/>
        <v>64.092778759822735</v>
      </c>
      <c r="C137" s="10">
        <f t="shared" si="9"/>
        <v>0.16009867944940304</v>
      </c>
      <c r="D137" s="10">
        <f t="shared" si="10"/>
        <v>31.966428909819086</v>
      </c>
      <c r="E137" s="5">
        <f t="shared" si="11"/>
        <v>32.126527589268491</v>
      </c>
      <c r="F137" s="6"/>
      <c r="G137" s="6"/>
      <c r="H137" s="6"/>
      <c r="I137" s="6"/>
      <c r="J137" s="6"/>
    </row>
    <row r="138" spans="1:10">
      <c r="A138" s="16">
        <v>119</v>
      </c>
      <c r="B138" s="10">
        <f t="shared" si="8"/>
        <v>32.073072468487283</v>
      </c>
      <c r="C138" s="10">
        <f t="shared" si="9"/>
        <v>0.10682129793303789</v>
      </c>
      <c r="D138" s="10">
        <f t="shared" si="10"/>
        <v>32.019706291335453</v>
      </c>
      <c r="E138" s="5">
        <f t="shared" si="11"/>
        <v>32.126527589268491</v>
      </c>
      <c r="F138" s="6"/>
      <c r="G138" s="6"/>
      <c r="H138" s="6"/>
      <c r="I138" s="6"/>
      <c r="J138" s="6"/>
    </row>
    <row r="139" spans="1:10">
      <c r="A139" s="16">
        <v>120</v>
      </c>
      <c r="B139" s="10">
        <f t="shared" si="8"/>
        <v>-3.979039320256561E-13</v>
      </c>
      <c r="C139" s="10">
        <f t="shared" si="9"/>
        <v>5.3455120780812139E-2</v>
      </c>
      <c r="D139" s="10">
        <f t="shared" si="10"/>
        <v>32.07307246848768</v>
      </c>
      <c r="E139" s="5">
        <f t="shared" si="11"/>
        <v>32.126527589268491</v>
      </c>
      <c r="F139" s="6"/>
      <c r="G139" s="6"/>
      <c r="H139" s="6"/>
      <c r="I139" s="6"/>
      <c r="J139" s="6"/>
    </row>
    <row r="140" spans="1:10">
      <c r="A140" s="16">
        <v>121</v>
      </c>
      <c r="B140" s="10">
        <f t="shared" si="8"/>
        <v>0</v>
      </c>
      <c r="C140" s="10">
        <f t="shared" si="9"/>
        <v>0</v>
      </c>
      <c r="D140" s="10">
        <f t="shared" si="10"/>
        <v>0</v>
      </c>
      <c r="E140" s="5">
        <f t="shared" si="11"/>
        <v>0</v>
      </c>
      <c r="F140" s="6"/>
      <c r="G140" s="6"/>
      <c r="H140" s="6"/>
      <c r="I140" s="6"/>
      <c r="J140" s="6"/>
    </row>
    <row r="141" spans="1:10">
      <c r="A141" s="16">
        <v>122</v>
      </c>
      <c r="B141" s="10">
        <f t="shared" si="8"/>
        <v>0</v>
      </c>
      <c r="C141" s="10">
        <f t="shared" si="9"/>
        <v>0</v>
      </c>
      <c r="D141" s="10">
        <f t="shared" si="10"/>
        <v>0</v>
      </c>
      <c r="E141" s="5">
        <f t="shared" si="11"/>
        <v>0</v>
      </c>
      <c r="F141" s="6"/>
      <c r="G141" s="6"/>
      <c r="H141" s="6"/>
      <c r="I141" s="6"/>
      <c r="J141" s="6"/>
    </row>
    <row r="142" spans="1:10">
      <c r="A142" s="16">
        <v>123</v>
      </c>
      <c r="B142" s="10">
        <f t="shared" si="8"/>
        <v>0</v>
      </c>
      <c r="C142" s="10">
        <f t="shared" si="9"/>
        <v>0</v>
      </c>
      <c r="D142" s="10">
        <f t="shared" si="10"/>
        <v>0</v>
      </c>
      <c r="E142" s="5">
        <f t="shared" si="11"/>
        <v>0</v>
      </c>
      <c r="F142" s="6"/>
      <c r="G142" s="6"/>
      <c r="H142" s="6"/>
      <c r="I142" s="6"/>
      <c r="J142" s="6"/>
    </row>
    <row r="143" spans="1:10">
      <c r="A143" s="16">
        <v>124</v>
      </c>
      <c r="B143" s="10">
        <f t="shared" si="8"/>
        <v>0</v>
      </c>
      <c r="C143" s="10">
        <f t="shared" si="9"/>
        <v>0</v>
      </c>
      <c r="D143" s="10">
        <f t="shared" si="10"/>
        <v>0</v>
      </c>
      <c r="E143" s="5">
        <f t="shared" si="11"/>
        <v>0</v>
      </c>
      <c r="F143" s="6"/>
      <c r="G143" s="6"/>
      <c r="H143" s="6"/>
      <c r="I143" s="6"/>
      <c r="J143" s="6"/>
    </row>
    <row r="144" spans="1:10">
      <c r="A144" s="16">
        <v>125</v>
      </c>
      <c r="B144" s="10">
        <f t="shared" si="8"/>
        <v>0</v>
      </c>
      <c r="C144" s="10">
        <f t="shared" si="9"/>
        <v>0</v>
      </c>
      <c r="D144" s="10">
        <f t="shared" si="10"/>
        <v>0</v>
      </c>
      <c r="E144" s="5">
        <f t="shared" si="11"/>
        <v>0</v>
      </c>
      <c r="F144" s="6"/>
      <c r="G144" s="6"/>
      <c r="H144" s="6"/>
      <c r="I144" s="6"/>
      <c r="J144" s="6"/>
    </row>
    <row r="145" spans="1:10">
      <c r="A145" s="16">
        <v>126</v>
      </c>
      <c r="B145" s="10">
        <f t="shared" si="8"/>
        <v>0</v>
      </c>
      <c r="C145" s="10">
        <f t="shared" si="9"/>
        <v>0</v>
      </c>
      <c r="D145" s="10">
        <f t="shared" si="10"/>
        <v>0</v>
      </c>
      <c r="E145" s="5">
        <f t="shared" si="11"/>
        <v>0</v>
      </c>
      <c r="F145" s="6"/>
      <c r="G145" s="6"/>
      <c r="H145" s="6"/>
      <c r="I145" s="6"/>
      <c r="J145" s="6"/>
    </row>
    <row r="146" spans="1:10">
      <c r="A146" s="16">
        <v>127</v>
      </c>
      <c r="B146" s="10">
        <f t="shared" si="8"/>
        <v>0</v>
      </c>
      <c r="C146" s="10">
        <f t="shared" si="9"/>
        <v>0</v>
      </c>
      <c r="D146" s="10">
        <f t="shared" si="10"/>
        <v>0</v>
      </c>
      <c r="E146" s="5">
        <f t="shared" si="11"/>
        <v>0</v>
      </c>
      <c r="F146" s="6"/>
      <c r="G146" s="6"/>
      <c r="H146" s="6"/>
      <c r="I146" s="6"/>
      <c r="J146" s="6"/>
    </row>
    <row r="147" spans="1:10">
      <c r="A147" s="16">
        <v>128</v>
      </c>
      <c r="B147" s="10">
        <f t="shared" si="8"/>
        <v>0</v>
      </c>
      <c r="C147" s="10">
        <f t="shared" si="9"/>
        <v>0</v>
      </c>
      <c r="D147" s="10">
        <f t="shared" si="10"/>
        <v>0</v>
      </c>
      <c r="E147" s="5">
        <f t="shared" si="11"/>
        <v>0</v>
      </c>
      <c r="F147" s="6"/>
      <c r="G147" s="6"/>
      <c r="H147" s="6"/>
      <c r="I147" s="6"/>
      <c r="J147" s="6"/>
    </row>
    <row r="148" spans="1:10">
      <c r="A148" s="16">
        <v>129</v>
      </c>
      <c r="B148" s="10">
        <f t="shared" ref="B148:B211" si="12">IF(A148&lt;=$D$5*12,B147-D148,0)</f>
        <v>0</v>
      </c>
      <c r="C148" s="10">
        <f t="shared" ref="C148:C211" si="13">IF(A148&lt;=$D$5*12,B147*$D$6/12,0)</f>
        <v>0</v>
      </c>
      <c r="D148" s="10">
        <f t="shared" si="10"/>
        <v>0</v>
      </c>
      <c r="E148" s="5">
        <f t="shared" si="11"/>
        <v>0</v>
      </c>
      <c r="F148" s="6"/>
      <c r="G148" s="6"/>
      <c r="H148" s="6"/>
      <c r="I148" s="6"/>
      <c r="J148" s="6"/>
    </row>
    <row r="149" spans="1:10">
      <c r="A149" s="16">
        <v>130</v>
      </c>
      <c r="B149" s="10">
        <f t="shared" si="12"/>
        <v>0</v>
      </c>
      <c r="C149" s="10">
        <f t="shared" si="13"/>
        <v>0</v>
      </c>
      <c r="D149" s="10">
        <f t="shared" ref="D149:D212" si="14">IF($D$3="Annuitätendarlehen",IF(A149&lt;=$D$5*12,E149-C149,0),IF($D$3="Ratendarlehen",IF(AND(A149&lt;=$D$5*12,A149&gt;$D$7),$D$4/($D$5*12-$D$7),0),IF($D$3="Restwertdarlehen",IF(A149=$D$5*12,$D$4,0),0)))</f>
        <v>0</v>
      </c>
      <c r="E149" s="5">
        <f t="shared" ref="E149:E212" si="15">IF($D$3="Annuitätendarlehen",IF(AND(A149&lt;=$D$5*12,A149&gt;$D$7),PMT($D$6/12,$D$5*12-$D$7,-$D$4,$D$8,0),IF(A149&lt;=$D$7,C149,0)),IF($D$3="Ratendarlehen",IF(AND(A149&lt;=$D$5*12,A149&gt;$D$7),$D$4/($D$5*12-$D$7)+C149,IF(A149&lt;=$D$7,C149,0)),IF(AND($D$3="Restwertdarlehen",A149&lt;=$D$5*12),C149+D149,0)))</f>
        <v>0</v>
      </c>
      <c r="F149" s="6"/>
      <c r="G149" s="6"/>
      <c r="H149" s="6"/>
      <c r="I149" s="6"/>
      <c r="J149" s="6"/>
    </row>
    <row r="150" spans="1:10">
      <c r="A150" s="16">
        <v>131</v>
      </c>
      <c r="B150" s="10">
        <f t="shared" si="12"/>
        <v>0</v>
      </c>
      <c r="C150" s="10">
        <f t="shared" si="13"/>
        <v>0</v>
      </c>
      <c r="D150" s="10">
        <f t="shared" si="14"/>
        <v>0</v>
      </c>
      <c r="E150" s="5">
        <f t="shared" si="15"/>
        <v>0</v>
      </c>
      <c r="F150" s="6"/>
      <c r="G150" s="6"/>
      <c r="H150" s="6"/>
      <c r="I150" s="6"/>
      <c r="J150" s="6"/>
    </row>
    <row r="151" spans="1:10">
      <c r="A151" s="16">
        <v>132</v>
      </c>
      <c r="B151" s="10">
        <f t="shared" si="12"/>
        <v>0</v>
      </c>
      <c r="C151" s="10">
        <f t="shared" si="13"/>
        <v>0</v>
      </c>
      <c r="D151" s="10">
        <f t="shared" si="14"/>
        <v>0</v>
      </c>
      <c r="E151" s="5">
        <f t="shared" si="15"/>
        <v>0</v>
      </c>
      <c r="F151" s="6"/>
      <c r="G151" s="6"/>
      <c r="H151" s="6"/>
      <c r="I151" s="6"/>
      <c r="J151" s="6"/>
    </row>
    <row r="152" spans="1:10">
      <c r="A152" s="16">
        <v>133</v>
      </c>
      <c r="B152" s="10">
        <f t="shared" si="12"/>
        <v>0</v>
      </c>
      <c r="C152" s="10">
        <f t="shared" si="13"/>
        <v>0</v>
      </c>
      <c r="D152" s="10">
        <f t="shared" si="14"/>
        <v>0</v>
      </c>
      <c r="E152" s="5">
        <f t="shared" si="15"/>
        <v>0</v>
      </c>
      <c r="F152" s="6"/>
      <c r="G152" s="6"/>
      <c r="H152" s="6"/>
      <c r="I152" s="6"/>
      <c r="J152" s="6"/>
    </row>
    <row r="153" spans="1:10">
      <c r="A153" s="16">
        <v>134</v>
      </c>
      <c r="B153" s="10">
        <f t="shared" si="12"/>
        <v>0</v>
      </c>
      <c r="C153" s="10">
        <f t="shared" si="13"/>
        <v>0</v>
      </c>
      <c r="D153" s="10">
        <f t="shared" si="14"/>
        <v>0</v>
      </c>
      <c r="E153" s="5">
        <f t="shared" si="15"/>
        <v>0</v>
      </c>
      <c r="F153" s="6"/>
      <c r="G153" s="6"/>
      <c r="H153" s="6"/>
      <c r="I153" s="6"/>
      <c r="J153" s="6"/>
    </row>
    <row r="154" spans="1:10">
      <c r="A154" s="16">
        <v>135</v>
      </c>
      <c r="B154" s="10">
        <f t="shared" si="12"/>
        <v>0</v>
      </c>
      <c r="C154" s="10">
        <f t="shared" si="13"/>
        <v>0</v>
      </c>
      <c r="D154" s="10">
        <f t="shared" si="14"/>
        <v>0</v>
      </c>
      <c r="E154" s="5">
        <f t="shared" si="15"/>
        <v>0</v>
      </c>
      <c r="F154" s="6"/>
      <c r="G154" s="6"/>
      <c r="H154" s="6"/>
      <c r="I154" s="6"/>
      <c r="J154" s="6"/>
    </row>
    <row r="155" spans="1:10">
      <c r="A155" s="16">
        <v>136</v>
      </c>
      <c r="B155" s="10">
        <f t="shared" si="12"/>
        <v>0</v>
      </c>
      <c r="C155" s="10">
        <f t="shared" si="13"/>
        <v>0</v>
      </c>
      <c r="D155" s="10">
        <f t="shared" si="14"/>
        <v>0</v>
      </c>
      <c r="E155" s="5">
        <f t="shared" si="15"/>
        <v>0</v>
      </c>
      <c r="F155" s="6"/>
      <c r="G155" s="6"/>
      <c r="H155" s="6"/>
      <c r="I155" s="6"/>
      <c r="J155" s="6"/>
    </row>
    <row r="156" spans="1:10">
      <c r="A156" s="16">
        <v>137</v>
      </c>
      <c r="B156" s="10">
        <f t="shared" si="12"/>
        <v>0</v>
      </c>
      <c r="C156" s="10">
        <f t="shared" si="13"/>
        <v>0</v>
      </c>
      <c r="D156" s="10">
        <f t="shared" si="14"/>
        <v>0</v>
      </c>
      <c r="E156" s="5">
        <f t="shared" si="15"/>
        <v>0</v>
      </c>
      <c r="F156" s="6"/>
      <c r="G156" s="6"/>
      <c r="H156" s="6"/>
      <c r="I156" s="6"/>
      <c r="J156" s="6"/>
    </row>
    <row r="157" spans="1:10">
      <c r="A157" s="16">
        <v>138</v>
      </c>
      <c r="B157" s="10">
        <f t="shared" si="12"/>
        <v>0</v>
      </c>
      <c r="C157" s="10">
        <f t="shared" si="13"/>
        <v>0</v>
      </c>
      <c r="D157" s="10">
        <f t="shared" si="14"/>
        <v>0</v>
      </c>
      <c r="E157" s="5">
        <f t="shared" si="15"/>
        <v>0</v>
      </c>
      <c r="F157" s="6"/>
      <c r="G157" s="6"/>
      <c r="H157" s="6"/>
      <c r="I157" s="6"/>
      <c r="J157" s="6"/>
    </row>
    <row r="158" spans="1:10">
      <c r="A158" s="16">
        <v>139</v>
      </c>
      <c r="B158" s="10">
        <f t="shared" si="12"/>
        <v>0</v>
      </c>
      <c r="C158" s="10">
        <f t="shared" si="13"/>
        <v>0</v>
      </c>
      <c r="D158" s="10">
        <f t="shared" si="14"/>
        <v>0</v>
      </c>
      <c r="E158" s="5">
        <f t="shared" si="15"/>
        <v>0</v>
      </c>
      <c r="F158" s="6"/>
      <c r="G158" s="6"/>
      <c r="H158" s="6"/>
      <c r="I158" s="6"/>
      <c r="J158" s="6"/>
    </row>
    <row r="159" spans="1:10">
      <c r="A159" s="16">
        <v>140</v>
      </c>
      <c r="B159" s="10">
        <f t="shared" si="12"/>
        <v>0</v>
      </c>
      <c r="C159" s="10">
        <f t="shared" si="13"/>
        <v>0</v>
      </c>
      <c r="D159" s="10">
        <f t="shared" si="14"/>
        <v>0</v>
      </c>
      <c r="E159" s="5">
        <f t="shared" si="15"/>
        <v>0</v>
      </c>
      <c r="F159" s="6"/>
      <c r="G159" s="6"/>
      <c r="H159" s="6"/>
      <c r="I159" s="6"/>
      <c r="J159" s="6"/>
    </row>
    <row r="160" spans="1:10">
      <c r="A160" s="16">
        <v>141</v>
      </c>
      <c r="B160" s="10">
        <f t="shared" si="12"/>
        <v>0</v>
      </c>
      <c r="C160" s="10">
        <f t="shared" si="13"/>
        <v>0</v>
      </c>
      <c r="D160" s="10">
        <f t="shared" si="14"/>
        <v>0</v>
      </c>
      <c r="E160" s="5">
        <f t="shared" si="15"/>
        <v>0</v>
      </c>
      <c r="F160" s="6"/>
      <c r="G160" s="6"/>
      <c r="H160" s="6"/>
      <c r="I160" s="6"/>
      <c r="J160" s="6"/>
    </row>
    <row r="161" spans="1:10">
      <c r="A161" s="16">
        <v>142</v>
      </c>
      <c r="B161" s="10">
        <f t="shared" si="12"/>
        <v>0</v>
      </c>
      <c r="C161" s="10">
        <f t="shared" si="13"/>
        <v>0</v>
      </c>
      <c r="D161" s="10">
        <f t="shared" si="14"/>
        <v>0</v>
      </c>
      <c r="E161" s="5">
        <f t="shared" si="15"/>
        <v>0</v>
      </c>
      <c r="F161" s="6"/>
      <c r="G161" s="6"/>
      <c r="H161" s="6"/>
      <c r="I161" s="6"/>
      <c r="J161" s="6"/>
    </row>
    <row r="162" spans="1:10">
      <c r="A162" s="16">
        <v>143</v>
      </c>
      <c r="B162" s="10">
        <f t="shared" si="12"/>
        <v>0</v>
      </c>
      <c r="C162" s="10">
        <f t="shared" si="13"/>
        <v>0</v>
      </c>
      <c r="D162" s="10">
        <f t="shared" si="14"/>
        <v>0</v>
      </c>
      <c r="E162" s="5">
        <f t="shared" si="15"/>
        <v>0</v>
      </c>
      <c r="F162" s="6"/>
      <c r="G162" s="6"/>
      <c r="H162" s="6"/>
      <c r="I162" s="6"/>
      <c r="J162" s="6"/>
    </row>
    <row r="163" spans="1:10">
      <c r="A163" s="16">
        <v>144</v>
      </c>
      <c r="B163" s="10">
        <f t="shared" si="12"/>
        <v>0</v>
      </c>
      <c r="C163" s="10">
        <f t="shared" si="13"/>
        <v>0</v>
      </c>
      <c r="D163" s="10">
        <f t="shared" si="14"/>
        <v>0</v>
      </c>
      <c r="E163" s="5">
        <f t="shared" si="15"/>
        <v>0</v>
      </c>
      <c r="F163" s="6"/>
      <c r="G163" s="6"/>
      <c r="H163" s="6"/>
      <c r="I163" s="6"/>
      <c r="J163" s="6"/>
    </row>
    <row r="164" spans="1:10">
      <c r="A164" s="16">
        <v>145</v>
      </c>
      <c r="B164" s="10">
        <f t="shared" si="12"/>
        <v>0</v>
      </c>
      <c r="C164" s="10">
        <f t="shared" si="13"/>
        <v>0</v>
      </c>
      <c r="D164" s="10">
        <f t="shared" si="14"/>
        <v>0</v>
      </c>
      <c r="E164" s="5">
        <f t="shared" si="15"/>
        <v>0</v>
      </c>
      <c r="F164" s="6"/>
      <c r="G164" s="6"/>
      <c r="H164" s="6"/>
      <c r="I164" s="6"/>
      <c r="J164" s="6"/>
    </row>
    <row r="165" spans="1:10">
      <c r="A165" s="16">
        <v>146</v>
      </c>
      <c r="B165" s="10">
        <f t="shared" si="12"/>
        <v>0</v>
      </c>
      <c r="C165" s="10">
        <f t="shared" si="13"/>
        <v>0</v>
      </c>
      <c r="D165" s="10">
        <f t="shared" si="14"/>
        <v>0</v>
      </c>
      <c r="E165" s="5">
        <f t="shared" si="15"/>
        <v>0</v>
      </c>
      <c r="F165" s="6"/>
      <c r="G165" s="6"/>
      <c r="H165" s="6"/>
      <c r="I165" s="6"/>
      <c r="J165" s="6"/>
    </row>
    <row r="166" spans="1:10">
      <c r="A166" s="16">
        <v>147</v>
      </c>
      <c r="B166" s="10">
        <f t="shared" si="12"/>
        <v>0</v>
      </c>
      <c r="C166" s="10">
        <f t="shared" si="13"/>
        <v>0</v>
      </c>
      <c r="D166" s="10">
        <f t="shared" si="14"/>
        <v>0</v>
      </c>
      <c r="E166" s="5">
        <f t="shared" si="15"/>
        <v>0</v>
      </c>
      <c r="F166" s="6"/>
      <c r="G166" s="6"/>
      <c r="H166" s="6"/>
      <c r="I166" s="6"/>
      <c r="J166" s="6"/>
    </row>
    <row r="167" spans="1:10">
      <c r="A167" s="16">
        <v>148</v>
      </c>
      <c r="B167" s="10">
        <f t="shared" si="12"/>
        <v>0</v>
      </c>
      <c r="C167" s="10">
        <f t="shared" si="13"/>
        <v>0</v>
      </c>
      <c r="D167" s="10">
        <f t="shared" si="14"/>
        <v>0</v>
      </c>
      <c r="E167" s="5">
        <f t="shared" si="15"/>
        <v>0</v>
      </c>
      <c r="F167" s="6"/>
      <c r="G167" s="6"/>
      <c r="H167" s="6"/>
      <c r="I167" s="6"/>
      <c r="J167" s="6"/>
    </row>
    <row r="168" spans="1:10">
      <c r="A168" s="16">
        <v>149</v>
      </c>
      <c r="B168" s="10">
        <f t="shared" si="12"/>
        <v>0</v>
      </c>
      <c r="C168" s="10">
        <f t="shared" si="13"/>
        <v>0</v>
      </c>
      <c r="D168" s="10">
        <f t="shared" si="14"/>
        <v>0</v>
      </c>
      <c r="E168" s="5">
        <f t="shared" si="15"/>
        <v>0</v>
      </c>
      <c r="F168" s="6"/>
      <c r="G168" s="6"/>
      <c r="H168" s="6"/>
      <c r="I168" s="6"/>
      <c r="J168" s="6"/>
    </row>
    <row r="169" spans="1:10">
      <c r="A169" s="16">
        <v>150</v>
      </c>
      <c r="B169" s="10">
        <f t="shared" si="12"/>
        <v>0</v>
      </c>
      <c r="C169" s="10">
        <f t="shared" si="13"/>
        <v>0</v>
      </c>
      <c r="D169" s="10">
        <f t="shared" si="14"/>
        <v>0</v>
      </c>
      <c r="E169" s="5">
        <f t="shared" si="15"/>
        <v>0</v>
      </c>
      <c r="F169" s="6"/>
      <c r="G169" s="6"/>
      <c r="H169" s="6"/>
      <c r="I169" s="6"/>
      <c r="J169" s="6"/>
    </row>
    <row r="170" spans="1:10">
      <c r="A170" s="16">
        <v>151</v>
      </c>
      <c r="B170" s="10">
        <f t="shared" si="12"/>
        <v>0</v>
      </c>
      <c r="C170" s="10">
        <f t="shared" si="13"/>
        <v>0</v>
      </c>
      <c r="D170" s="10">
        <f t="shared" si="14"/>
        <v>0</v>
      </c>
      <c r="E170" s="5">
        <f t="shared" si="15"/>
        <v>0</v>
      </c>
      <c r="F170" s="6"/>
      <c r="G170" s="6"/>
      <c r="H170" s="6"/>
      <c r="I170" s="6"/>
      <c r="J170" s="6"/>
    </row>
    <row r="171" spans="1:10">
      <c r="A171" s="16">
        <v>152</v>
      </c>
      <c r="B171" s="10">
        <f t="shared" si="12"/>
        <v>0</v>
      </c>
      <c r="C171" s="10">
        <f t="shared" si="13"/>
        <v>0</v>
      </c>
      <c r="D171" s="10">
        <f t="shared" si="14"/>
        <v>0</v>
      </c>
      <c r="E171" s="5">
        <f t="shared" si="15"/>
        <v>0</v>
      </c>
      <c r="F171" s="6"/>
      <c r="G171" s="6"/>
      <c r="H171" s="6"/>
      <c r="I171" s="6"/>
      <c r="J171" s="6"/>
    </row>
    <row r="172" spans="1:10">
      <c r="A172" s="16">
        <v>153</v>
      </c>
      <c r="B172" s="10">
        <f t="shared" si="12"/>
        <v>0</v>
      </c>
      <c r="C172" s="10">
        <f t="shared" si="13"/>
        <v>0</v>
      </c>
      <c r="D172" s="10">
        <f t="shared" si="14"/>
        <v>0</v>
      </c>
      <c r="E172" s="5">
        <f t="shared" si="15"/>
        <v>0</v>
      </c>
      <c r="F172" s="6"/>
      <c r="G172" s="6"/>
      <c r="H172" s="6"/>
      <c r="I172" s="6"/>
      <c r="J172" s="6"/>
    </row>
    <row r="173" spans="1:10">
      <c r="A173" s="16">
        <v>154</v>
      </c>
      <c r="B173" s="10">
        <f t="shared" si="12"/>
        <v>0</v>
      </c>
      <c r="C173" s="10">
        <f t="shared" si="13"/>
        <v>0</v>
      </c>
      <c r="D173" s="10">
        <f t="shared" si="14"/>
        <v>0</v>
      </c>
      <c r="E173" s="5">
        <f t="shared" si="15"/>
        <v>0</v>
      </c>
      <c r="F173" s="6"/>
      <c r="G173" s="6"/>
      <c r="H173" s="6"/>
      <c r="I173" s="6"/>
      <c r="J173" s="6"/>
    </row>
    <row r="174" spans="1:10">
      <c r="A174" s="16">
        <v>155</v>
      </c>
      <c r="B174" s="10">
        <f t="shared" si="12"/>
        <v>0</v>
      </c>
      <c r="C174" s="10">
        <f t="shared" si="13"/>
        <v>0</v>
      </c>
      <c r="D174" s="10">
        <f t="shared" si="14"/>
        <v>0</v>
      </c>
      <c r="E174" s="5">
        <f t="shared" si="15"/>
        <v>0</v>
      </c>
      <c r="F174" s="6"/>
      <c r="G174" s="6"/>
      <c r="H174" s="6"/>
      <c r="I174" s="6"/>
      <c r="J174" s="6"/>
    </row>
    <row r="175" spans="1:10">
      <c r="A175" s="16">
        <v>156</v>
      </c>
      <c r="B175" s="10">
        <f t="shared" si="12"/>
        <v>0</v>
      </c>
      <c r="C175" s="10">
        <f t="shared" si="13"/>
        <v>0</v>
      </c>
      <c r="D175" s="10">
        <f t="shared" si="14"/>
        <v>0</v>
      </c>
      <c r="E175" s="5">
        <f t="shared" si="15"/>
        <v>0</v>
      </c>
      <c r="F175" s="6"/>
      <c r="G175" s="6"/>
      <c r="H175" s="6"/>
      <c r="I175" s="6"/>
      <c r="J175" s="6"/>
    </row>
    <row r="176" spans="1:10">
      <c r="A176" s="16">
        <v>157</v>
      </c>
      <c r="B176" s="10">
        <f t="shared" si="12"/>
        <v>0</v>
      </c>
      <c r="C176" s="10">
        <f t="shared" si="13"/>
        <v>0</v>
      </c>
      <c r="D176" s="10">
        <f t="shared" si="14"/>
        <v>0</v>
      </c>
      <c r="E176" s="5">
        <f t="shared" si="15"/>
        <v>0</v>
      </c>
      <c r="F176" s="6"/>
      <c r="G176" s="6"/>
      <c r="H176" s="6"/>
      <c r="I176" s="6"/>
      <c r="J176" s="6"/>
    </row>
    <row r="177" spans="1:10">
      <c r="A177" s="16">
        <v>158</v>
      </c>
      <c r="B177" s="10">
        <f t="shared" si="12"/>
        <v>0</v>
      </c>
      <c r="C177" s="10">
        <f t="shared" si="13"/>
        <v>0</v>
      </c>
      <c r="D177" s="10">
        <f t="shared" si="14"/>
        <v>0</v>
      </c>
      <c r="E177" s="5">
        <f t="shared" si="15"/>
        <v>0</v>
      </c>
      <c r="F177" s="6"/>
      <c r="G177" s="6"/>
      <c r="H177" s="6"/>
      <c r="I177" s="6"/>
      <c r="J177" s="6"/>
    </row>
    <row r="178" spans="1:10">
      <c r="A178" s="16">
        <v>159</v>
      </c>
      <c r="B178" s="10">
        <f t="shared" si="12"/>
        <v>0</v>
      </c>
      <c r="C178" s="10">
        <f t="shared" si="13"/>
        <v>0</v>
      </c>
      <c r="D178" s="10">
        <f t="shared" si="14"/>
        <v>0</v>
      </c>
      <c r="E178" s="5">
        <f t="shared" si="15"/>
        <v>0</v>
      </c>
      <c r="F178" s="6"/>
      <c r="G178" s="6"/>
      <c r="H178" s="6"/>
      <c r="I178" s="6"/>
      <c r="J178" s="6"/>
    </row>
    <row r="179" spans="1:10">
      <c r="A179" s="16">
        <v>160</v>
      </c>
      <c r="B179" s="10">
        <f t="shared" si="12"/>
        <v>0</v>
      </c>
      <c r="C179" s="10">
        <f t="shared" si="13"/>
        <v>0</v>
      </c>
      <c r="D179" s="10">
        <f t="shared" si="14"/>
        <v>0</v>
      </c>
      <c r="E179" s="5">
        <f t="shared" si="15"/>
        <v>0</v>
      </c>
      <c r="F179" s="6"/>
      <c r="G179" s="6"/>
      <c r="H179" s="6"/>
      <c r="I179" s="6"/>
      <c r="J179" s="6"/>
    </row>
    <row r="180" spans="1:10">
      <c r="A180" s="16">
        <v>161</v>
      </c>
      <c r="B180" s="10">
        <f t="shared" si="12"/>
        <v>0</v>
      </c>
      <c r="C180" s="10">
        <f t="shared" si="13"/>
        <v>0</v>
      </c>
      <c r="D180" s="10">
        <f t="shared" si="14"/>
        <v>0</v>
      </c>
      <c r="E180" s="5">
        <f t="shared" si="15"/>
        <v>0</v>
      </c>
      <c r="F180" s="6"/>
      <c r="G180" s="6"/>
      <c r="H180" s="6"/>
      <c r="I180" s="6"/>
      <c r="J180" s="6"/>
    </row>
    <row r="181" spans="1:10">
      <c r="A181" s="16">
        <v>162</v>
      </c>
      <c r="B181" s="10">
        <f t="shared" si="12"/>
        <v>0</v>
      </c>
      <c r="C181" s="10">
        <f t="shared" si="13"/>
        <v>0</v>
      </c>
      <c r="D181" s="10">
        <f t="shared" si="14"/>
        <v>0</v>
      </c>
      <c r="E181" s="5">
        <f t="shared" si="15"/>
        <v>0</v>
      </c>
      <c r="F181" s="6"/>
      <c r="G181" s="6"/>
      <c r="H181" s="6"/>
      <c r="I181" s="6"/>
      <c r="J181" s="6"/>
    </row>
    <row r="182" spans="1:10">
      <c r="A182" s="16">
        <v>163</v>
      </c>
      <c r="B182" s="10">
        <f t="shared" si="12"/>
        <v>0</v>
      </c>
      <c r="C182" s="10">
        <f t="shared" si="13"/>
        <v>0</v>
      </c>
      <c r="D182" s="10">
        <f t="shared" si="14"/>
        <v>0</v>
      </c>
      <c r="E182" s="5">
        <f t="shared" si="15"/>
        <v>0</v>
      </c>
      <c r="F182" s="6"/>
      <c r="G182" s="6"/>
      <c r="H182" s="6"/>
      <c r="I182" s="6"/>
      <c r="J182" s="6"/>
    </row>
    <row r="183" spans="1:10">
      <c r="A183" s="16">
        <v>164</v>
      </c>
      <c r="B183" s="10">
        <f t="shared" si="12"/>
        <v>0</v>
      </c>
      <c r="C183" s="10">
        <f t="shared" si="13"/>
        <v>0</v>
      </c>
      <c r="D183" s="10">
        <f t="shared" si="14"/>
        <v>0</v>
      </c>
      <c r="E183" s="5">
        <f t="shared" si="15"/>
        <v>0</v>
      </c>
      <c r="F183" s="6"/>
      <c r="G183" s="6"/>
      <c r="H183" s="6"/>
      <c r="I183" s="6"/>
      <c r="J183" s="6"/>
    </row>
    <row r="184" spans="1:10">
      <c r="A184" s="16">
        <v>165</v>
      </c>
      <c r="B184" s="10">
        <f t="shared" si="12"/>
        <v>0</v>
      </c>
      <c r="C184" s="10">
        <f t="shared" si="13"/>
        <v>0</v>
      </c>
      <c r="D184" s="10">
        <f t="shared" si="14"/>
        <v>0</v>
      </c>
      <c r="E184" s="5">
        <f t="shared" si="15"/>
        <v>0</v>
      </c>
      <c r="F184" s="6"/>
      <c r="G184" s="6"/>
      <c r="H184" s="6"/>
      <c r="I184" s="6"/>
      <c r="J184" s="6"/>
    </row>
    <row r="185" spans="1:10">
      <c r="A185" s="16">
        <v>166</v>
      </c>
      <c r="B185" s="10">
        <f t="shared" si="12"/>
        <v>0</v>
      </c>
      <c r="C185" s="10">
        <f t="shared" si="13"/>
        <v>0</v>
      </c>
      <c r="D185" s="10">
        <f t="shared" si="14"/>
        <v>0</v>
      </c>
      <c r="E185" s="5">
        <f t="shared" si="15"/>
        <v>0</v>
      </c>
      <c r="F185" s="6"/>
      <c r="G185" s="6"/>
      <c r="H185" s="6"/>
      <c r="I185" s="6"/>
      <c r="J185" s="6"/>
    </row>
    <row r="186" spans="1:10">
      <c r="A186" s="16">
        <v>167</v>
      </c>
      <c r="B186" s="10">
        <f t="shared" si="12"/>
        <v>0</v>
      </c>
      <c r="C186" s="10">
        <f t="shared" si="13"/>
        <v>0</v>
      </c>
      <c r="D186" s="10">
        <f t="shared" si="14"/>
        <v>0</v>
      </c>
      <c r="E186" s="5">
        <f t="shared" si="15"/>
        <v>0</v>
      </c>
      <c r="F186" s="6"/>
      <c r="G186" s="6"/>
      <c r="H186" s="6"/>
      <c r="I186" s="6"/>
      <c r="J186" s="6"/>
    </row>
    <row r="187" spans="1:10">
      <c r="A187" s="16">
        <v>168</v>
      </c>
      <c r="B187" s="10">
        <f t="shared" si="12"/>
        <v>0</v>
      </c>
      <c r="C187" s="10">
        <f t="shared" si="13"/>
        <v>0</v>
      </c>
      <c r="D187" s="10">
        <f t="shared" si="14"/>
        <v>0</v>
      </c>
      <c r="E187" s="5">
        <f t="shared" si="15"/>
        <v>0</v>
      </c>
      <c r="F187" s="6"/>
      <c r="G187" s="6"/>
      <c r="H187" s="6"/>
      <c r="I187" s="6"/>
      <c r="J187" s="6"/>
    </row>
    <row r="188" spans="1:10">
      <c r="A188" s="16">
        <v>169</v>
      </c>
      <c r="B188" s="10">
        <f t="shared" si="12"/>
        <v>0</v>
      </c>
      <c r="C188" s="10">
        <f t="shared" si="13"/>
        <v>0</v>
      </c>
      <c r="D188" s="10">
        <f t="shared" si="14"/>
        <v>0</v>
      </c>
      <c r="E188" s="5">
        <f t="shared" si="15"/>
        <v>0</v>
      </c>
      <c r="F188" s="6"/>
      <c r="G188" s="6"/>
      <c r="H188" s="6"/>
      <c r="I188" s="6"/>
      <c r="J188" s="6"/>
    </row>
    <row r="189" spans="1:10">
      <c r="A189" s="16">
        <v>170</v>
      </c>
      <c r="B189" s="10">
        <f t="shared" si="12"/>
        <v>0</v>
      </c>
      <c r="C189" s="10">
        <f t="shared" si="13"/>
        <v>0</v>
      </c>
      <c r="D189" s="10">
        <f t="shared" si="14"/>
        <v>0</v>
      </c>
      <c r="E189" s="5">
        <f t="shared" si="15"/>
        <v>0</v>
      </c>
      <c r="F189" s="6"/>
      <c r="G189" s="6"/>
      <c r="H189" s="6"/>
      <c r="I189" s="6"/>
      <c r="J189" s="6"/>
    </row>
    <row r="190" spans="1:10">
      <c r="A190" s="16">
        <v>171</v>
      </c>
      <c r="B190" s="10">
        <f t="shared" si="12"/>
        <v>0</v>
      </c>
      <c r="C190" s="10">
        <f t="shared" si="13"/>
        <v>0</v>
      </c>
      <c r="D190" s="10">
        <f t="shared" si="14"/>
        <v>0</v>
      </c>
      <c r="E190" s="5">
        <f t="shared" si="15"/>
        <v>0</v>
      </c>
      <c r="F190" s="6"/>
      <c r="G190" s="6"/>
      <c r="H190" s="6"/>
      <c r="I190" s="6"/>
      <c r="J190" s="6"/>
    </row>
    <row r="191" spans="1:10">
      <c r="A191" s="16">
        <v>172</v>
      </c>
      <c r="B191" s="10">
        <f t="shared" si="12"/>
        <v>0</v>
      </c>
      <c r="C191" s="10">
        <f t="shared" si="13"/>
        <v>0</v>
      </c>
      <c r="D191" s="10">
        <f t="shared" si="14"/>
        <v>0</v>
      </c>
      <c r="E191" s="5">
        <f t="shared" si="15"/>
        <v>0</v>
      </c>
      <c r="F191" s="6"/>
      <c r="G191" s="6"/>
      <c r="H191" s="6"/>
      <c r="I191" s="6"/>
      <c r="J191" s="6"/>
    </row>
    <row r="192" spans="1:10">
      <c r="A192" s="16">
        <v>173</v>
      </c>
      <c r="B192" s="10">
        <f t="shared" si="12"/>
        <v>0</v>
      </c>
      <c r="C192" s="10">
        <f t="shared" si="13"/>
        <v>0</v>
      </c>
      <c r="D192" s="10">
        <f t="shared" si="14"/>
        <v>0</v>
      </c>
      <c r="E192" s="5">
        <f t="shared" si="15"/>
        <v>0</v>
      </c>
      <c r="F192" s="6"/>
      <c r="G192" s="6"/>
      <c r="H192" s="6"/>
      <c r="I192" s="6"/>
      <c r="J192" s="6"/>
    </row>
    <row r="193" spans="1:10">
      <c r="A193" s="16">
        <v>174</v>
      </c>
      <c r="B193" s="10">
        <f t="shared" si="12"/>
        <v>0</v>
      </c>
      <c r="C193" s="10">
        <f t="shared" si="13"/>
        <v>0</v>
      </c>
      <c r="D193" s="10">
        <f t="shared" si="14"/>
        <v>0</v>
      </c>
      <c r="E193" s="5">
        <f t="shared" si="15"/>
        <v>0</v>
      </c>
      <c r="F193" s="6"/>
      <c r="G193" s="6"/>
      <c r="H193" s="6"/>
      <c r="I193" s="6"/>
      <c r="J193" s="6"/>
    </row>
    <row r="194" spans="1:10">
      <c r="A194" s="16">
        <v>175</v>
      </c>
      <c r="B194" s="10">
        <f t="shared" si="12"/>
        <v>0</v>
      </c>
      <c r="C194" s="10">
        <f t="shared" si="13"/>
        <v>0</v>
      </c>
      <c r="D194" s="10">
        <f t="shared" si="14"/>
        <v>0</v>
      </c>
      <c r="E194" s="5">
        <f t="shared" si="15"/>
        <v>0</v>
      </c>
      <c r="F194" s="6"/>
      <c r="G194" s="6"/>
      <c r="H194" s="6"/>
      <c r="I194" s="6"/>
      <c r="J194" s="6"/>
    </row>
    <row r="195" spans="1:10">
      <c r="A195" s="16">
        <v>176</v>
      </c>
      <c r="B195" s="10">
        <f t="shared" si="12"/>
        <v>0</v>
      </c>
      <c r="C195" s="10">
        <f t="shared" si="13"/>
        <v>0</v>
      </c>
      <c r="D195" s="10">
        <f t="shared" si="14"/>
        <v>0</v>
      </c>
      <c r="E195" s="5">
        <f t="shared" si="15"/>
        <v>0</v>
      </c>
      <c r="F195" s="6"/>
      <c r="G195" s="6"/>
      <c r="H195" s="6"/>
      <c r="I195" s="6"/>
      <c r="J195" s="6"/>
    </row>
    <row r="196" spans="1:10">
      <c r="A196" s="16">
        <v>177</v>
      </c>
      <c r="B196" s="10">
        <f t="shared" si="12"/>
        <v>0</v>
      </c>
      <c r="C196" s="10">
        <f t="shared" si="13"/>
        <v>0</v>
      </c>
      <c r="D196" s="10">
        <f t="shared" si="14"/>
        <v>0</v>
      </c>
      <c r="E196" s="5">
        <f t="shared" si="15"/>
        <v>0</v>
      </c>
      <c r="F196" s="6"/>
      <c r="G196" s="6"/>
      <c r="H196" s="6"/>
      <c r="I196" s="6"/>
      <c r="J196" s="6"/>
    </row>
    <row r="197" spans="1:10">
      <c r="A197" s="16">
        <v>178</v>
      </c>
      <c r="B197" s="10">
        <f t="shared" si="12"/>
        <v>0</v>
      </c>
      <c r="C197" s="10">
        <f t="shared" si="13"/>
        <v>0</v>
      </c>
      <c r="D197" s="10">
        <f t="shared" si="14"/>
        <v>0</v>
      </c>
      <c r="E197" s="5">
        <f t="shared" si="15"/>
        <v>0</v>
      </c>
      <c r="F197" s="6"/>
      <c r="G197" s="6"/>
      <c r="H197" s="6"/>
      <c r="I197" s="6"/>
      <c r="J197" s="6"/>
    </row>
    <row r="198" spans="1:10">
      <c r="A198" s="16">
        <v>179</v>
      </c>
      <c r="B198" s="10">
        <f t="shared" si="12"/>
        <v>0</v>
      </c>
      <c r="C198" s="10">
        <f t="shared" si="13"/>
        <v>0</v>
      </c>
      <c r="D198" s="10">
        <f t="shared" si="14"/>
        <v>0</v>
      </c>
      <c r="E198" s="5">
        <f t="shared" si="15"/>
        <v>0</v>
      </c>
      <c r="F198" s="6"/>
      <c r="G198" s="6"/>
      <c r="H198" s="6"/>
      <c r="I198" s="6"/>
      <c r="J198" s="6"/>
    </row>
    <row r="199" spans="1:10">
      <c r="A199" s="16">
        <v>180</v>
      </c>
      <c r="B199" s="10">
        <f t="shared" si="12"/>
        <v>0</v>
      </c>
      <c r="C199" s="10">
        <f t="shared" si="13"/>
        <v>0</v>
      </c>
      <c r="D199" s="10">
        <f t="shared" si="14"/>
        <v>0</v>
      </c>
      <c r="E199" s="5">
        <f t="shared" si="15"/>
        <v>0</v>
      </c>
      <c r="F199" s="6"/>
      <c r="G199" s="6"/>
      <c r="H199" s="6"/>
      <c r="I199" s="6"/>
      <c r="J199" s="6"/>
    </row>
    <row r="200" spans="1:10">
      <c r="A200" s="16">
        <v>181</v>
      </c>
      <c r="B200" s="10">
        <f t="shared" si="12"/>
        <v>0</v>
      </c>
      <c r="C200" s="10">
        <f t="shared" si="13"/>
        <v>0</v>
      </c>
      <c r="D200" s="10">
        <f t="shared" si="14"/>
        <v>0</v>
      </c>
      <c r="E200" s="5">
        <f t="shared" si="15"/>
        <v>0</v>
      </c>
      <c r="F200" s="6"/>
      <c r="G200" s="6"/>
      <c r="H200" s="6"/>
      <c r="I200" s="6"/>
      <c r="J200" s="6"/>
    </row>
    <row r="201" spans="1:10">
      <c r="A201" s="16">
        <v>182</v>
      </c>
      <c r="B201" s="10">
        <f t="shared" si="12"/>
        <v>0</v>
      </c>
      <c r="C201" s="10">
        <f t="shared" si="13"/>
        <v>0</v>
      </c>
      <c r="D201" s="10">
        <f t="shared" si="14"/>
        <v>0</v>
      </c>
      <c r="E201" s="5">
        <f t="shared" si="15"/>
        <v>0</v>
      </c>
      <c r="F201" s="6"/>
      <c r="G201" s="6"/>
      <c r="H201" s="6"/>
      <c r="I201" s="6"/>
      <c r="J201" s="6"/>
    </row>
    <row r="202" spans="1:10">
      <c r="A202" s="16">
        <v>183</v>
      </c>
      <c r="B202" s="10">
        <f t="shared" si="12"/>
        <v>0</v>
      </c>
      <c r="C202" s="10">
        <f t="shared" si="13"/>
        <v>0</v>
      </c>
      <c r="D202" s="10">
        <f t="shared" si="14"/>
        <v>0</v>
      </c>
      <c r="E202" s="5">
        <f t="shared" si="15"/>
        <v>0</v>
      </c>
      <c r="F202" s="6"/>
      <c r="G202" s="6"/>
      <c r="H202" s="6"/>
      <c r="I202" s="6"/>
      <c r="J202" s="6"/>
    </row>
    <row r="203" spans="1:10">
      <c r="A203" s="16">
        <v>184</v>
      </c>
      <c r="B203" s="10">
        <f t="shared" si="12"/>
        <v>0</v>
      </c>
      <c r="C203" s="10">
        <f t="shared" si="13"/>
        <v>0</v>
      </c>
      <c r="D203" s="10">
        <f t="shared" si="14"/>
        <v>0</v>
      </c>
      <c r="E203" s="5">
        <f t="shared" si="15"/>
        <v>0</v>
      </c>
      <c r="F203" s="6"/>
      <c r="G203" s="6"/>
      <c r="H203" s="6"/>
      <c r="I203" s="6"/>
      <c r="J203" s="6"/>
    </row>
    <row r="204" spans="1:10">
      <c r="A204" s="16">
        <v>185</v>
      </c>
      <c r="B204" s="10">
        <f t="shared" si="12"/>
        <v>0</v>
      </c>
      <c r="C204" s="10">
        <f t="shared" si="13"/>
        <v>0</v>
      </c>
      <c r="D204" s="10">
        <f t="shared" si="14"/>
        <v>0</v>
      </c>
      <c r="E204" s="5">
        <f t="shared" si="15"/>
        <v>0</v>
      </c>
      <c r="F204" s="6"/>
      <c r="G204" s="6"/>
      <c r="H204" s="6"/>
      <c r="I204" s="6"/>
      <c r="J204" s="6"/>
    </row>
    <row r="205" spans="1:10">
      <c r="A205" s="16">
        <v>186</v>
      </c>
      <c r="B205" s="10">
        <f t="shared" si="12"/>
        <v>0</v>
      </c>
      <c r="C205" s="10">
        <f t="shared" si="13"/>
        <v>0</v>
      </c>
      <c r="D205" s="10">
        <f t="shared" si="14"/>
        <v>0</v>
      </c>
      <c r="E205" s="5">
        <f t="shared" si="15"/>
        <v>0</v>
      </c>
      <c r="F205" s="6"/>
      <c r="G205" s="6"/>
      <c r="H205" s="6"/>
      <c r="I205" s="6"/>
      <c r="J205" s="6"/>
    </row>
    <row r="206" spans="1:10">
      <c r="A206" s="16">
        <v>187</v>
      </c>
      <c r="B206" s="10">
        <f t="shared" si="12"/>
        <v>0</v>
      </c>
      <c r="C206" s="10">
        <f t="shared" si="13"/>
        <v>0</v>
      </c>
      <c r="D206" s="10">
        <f t="shared" si="14"/>
        <v>0</v>
      </c>
      <c r="E206" s="5">
        <f t="shared" si="15"/>
        <v>0</v>
      </c>
      <c r="F206" s="6"/>
      <c r="G206" s="6"/>
      <c r="H206" s="6"/>
      <c r="I206" s="6"/>
      <c r="J206" s="6"/>
    </row>
    <row r="207" spans="1:10">
      <c r="A207" s="16">
        <v>188</v>
      </c>
      <c r="B207" s="10">
        <f t="shared" si="12"/>
        <v>0</v>
      </c>
      <c r="C207" s="10">
        <f t="shared" si="13"/>
        <v>0</v>
      </c>
      <c r="D207" s="10">
        <f t="shared" si="14"/>
        <v>0</v>
      </c>
      <c r="E207" s="5">
        <f t="shared" si="15"/>
        <v>0</v>
      </c>
      <c r="F207" s="6"/>
      <c r="G207" s="6"/>
      <c r="H207" s="6"/>
      <c r="I207" s="6"/>
      <c r="J207" s="6"/>
    </row>
    <row r="208" spans="1:10">
      <c r="A208" s="16">
        <v>189</v>
      </c>
      <c r="B208" s="10">
        <f t="shared" si="12"/>
        <v>0</v>
      </c>
      <c r="C208" s="10">
        <f t="shared" si="13"/>
        <v>0</v>
      </c>
      <c r="D208" s="10">
        <f t="shared" si="14"/>
        <v>0</v>
      </c>
      <c r="E208" s="5">
        <f t="shared" si="15"/>
        <v>0</v>
      </c>
      <c r="F208" s="6"/>
      <c r="G208" s="6"/>
      <c r="H208" s="6"/>
      <c r="I208" s="6"/>
      <c r="J208" s="6"/>
    </row>
    <row r="209" spans="1:10">
      <c r="A209" s="16">
        <v>190</v>
      </c>
      <c r="B209" s="10">
        <f t="shared" si="12"/>
        <v>0</v>
      </c>
      <c r="C209" s="10">
        <f t="shared" si="13"/>
        <v>0</v>
      </c>
      <c r="D209" s="10">
        <f t="shared" si="14"/>
        <v>0</v>
      </c>
      <c r="E209" s="5">
        <f t="shared" si="15"/>
        <v>0</v>
      </c>
      <c r="F209" s="6"/>
      <c r="G209" s="6"/>
      <c r="H209" s="6"/>
      <c r="I209" s="6"/>
      <c r="J209" s="6"/>
    </row>
    <row r="210" spans="1:10">
      <c r="A210" s="16">
        <v>191</v>
      </c>
      <c r="B210" s="10">
        <f t="shared" si="12"/>
        <v>0</v>
      </c>
      <c r="C210" s="10">
        <f t="shared" si="13"/>
        <v>0</v>
      </c>
      <c r="D210" s="10">
        <f t="shared" si="14"/>
        <v>0</v>
      </c>
      <c r="E210" s="5">
        <f t="shared" si="15"/>
        <v>0</v>
      </c>
      <c r="F210" s="6"/>
      <c r="G210" s="6"/>
      <c r="H210" s="6"/>
      <c r="I210" s="6"/>
      <c r="J210" s="6"/>
    </row>
    <row r="211" spans="1:10">
      <c r="A211" s="16">
        <v>192</v>
      </c>
      <c r="B211" s="10">
        <f t="shared" si="12"/>
        <v>0</v>
      </c>
      <c r="C211" s="10">
        <f t="shared" si="13"/>
        <v>0</v>
      </c>
      <c r="D211" s="10">
        <f t="shared" si="14"/>
        <v>0</v>
      </c>
      <c r="E211" s="5">
        <f t="shared" si="15"/>
        <v>0</v>
      </c>
      <c r="F211" s="6"/>
      <c r="G211" s="6"/>
      <c r="H211" s="6"/>
      <c r="I211" s="6"/>
      <c r="J211" s="6"/>
    </row>
    <row r="212" spans="1:10">
      <c r="A212" s="16">
        <v>193</v>
      </c>
      <c r="B212" s="10">
        <f t="shared" ref="B212:B275" si="16">IF(A212&lt;=$D$5*12,B211-D212,0)</f>
        <v>0</v>
      </c>
      <c r="C212" s="10">
        <f t="shared" ref="C212:C275" si="17">IF(A212&lt;=$D$5*12,B211*$D$6/12,0)</f>
        <v>0</v>
      </c>
      <c r="D212" s="10">
        <f t="shared" si="14"/>
        <v>0</v>
      </c>
      <c r="E212" s="5">
        <f t="shared" si="15"/>
        <v>0</v>
      </c>
      <c r="F212" s="6"/>
      <c r="G212" s="6"/>
      <c r="H212" s="6"/>
      <c r="I212" s="6"/>
      <c r="J212" s="6"/>
    </row>
    <row r="213" spans="1:10">
      <c r="A213" s="16">
        <v>194</v>
      </c>
      <c r="B213" s="10">
        <f t="shared" si="16"/>
        <v>0</v>
      </c>
      <c r="C213" s="10">
        <f t="shared" si="17"/>
        <v>0</v>
      </c>
      <c r="D213" s="10">
        <f t="shared" ref="D213:D276" si="18">IF($D$3="Annuitätendarlehen",IF(A213&lt;=$D$5*12,E213-C213,0),IF($D$3="Ratendarlehen",IF(AND(A213&lt;=$D$5*12,A213&gt;$D$7),$D$4/($D$5*12-$D$7),0),IF($D$3="Restwertdarlehen",IF(A213=$D$5*12,$D$4,0),0)))</f>
        <v>0</v>
      </c>
      <c r="E213" s="5">
        <f t="shared" ref="E213:E276" si="19">IF($D$3="Annuitätendarlehen",IF(AND(A213&lt;=$D$5*12,A213&gt;$D$7),PMT($D$6/12,$D$5*12-$D$7,-$D$4,$D$8,0),IF(A213&lt;=$D$7,C213,0)),IF($D$3="Ratendarlehen",IF(AND(A213&lt;=$D$5*12,A213&gt;$D$7),$D$4/($D$5*12-$D$7)+C213,IF(A213&lt;=$D$7,C213,0)),IF(AND($D$3="Restwertdarlehen",A213&lt;=$D$5*12),C213+D213,0)))</f>
        <v>0</v>
      </c>
      <c r="F213" s="6"/>
      <c r="G213" s="6"/>
      <c r="H213" s="6"/>
      <c r="I213" s="6"/>
      <c r="J213" s="6"/>
    </row>
    <row r="214" spans="1:10">
      <c r="A214" s="16">
        <v>195</v>
      </c>
      <c r="B214" s="10">
        <f t="shared" si="16"/>
        <v>0</v>
      </c>
      <c r="C214" s="10">
        <f t="shared" si="17"/>
        <v>0</v>
      </c>
      <c r="D214" s="10">
        <f t="shared" si="18"/>
        <v>0</v>
      </c>
      <c r="E214" s="5">
        <f t="shared" si="19"/>
        <v>0</v>
      </c>
      <c r="F214" s="6"/>
      <c r="G214" s="6"/>
      <c r="H214" s="6"/>
      <c r="I214" s="6"/>
      <c r="J214" s="6"/>
    </row>
    <row r="215" spans="1:10">
      <c r="A215" s="16">
        <v>196</v>
      </c>
      <c r="B215" s="10">
        <f t="shared" si="16"/>
        <v>0</v>
      </c>
      <c r="C215" s="10">
        <f t="shared" si="17"/>
        <v>0</v>
      </c>
      <c r="D215" s="10">
        <f t="shared" si="18"/>
        <v>0</v>
      </c>
      <c r="E215" s="5">
        <f t="shared" si="19"/>
        <v>0</v>
      </c>
      <c r="F215" s="6"/>
      <c r="G215" s="6"/>
      <c r="H215" s="6"/>
      <c r="I215" s="6"/>
      <c r="J215" s="6"/>
    </row>
    <row r="216" spans="1:10">
      <c r="A216" s="16">
        <v>197</v>
      </c>
      <c r="B216" s="10">
        <f t="shared" si="16"/>
        <v>0</v>
      </c>
      <c r="C216" s="10">
        <f t="shared" si="17"/>
        <v>0</v>
      </c>
      <c r="D216" s="10">
        <f t="shared" si="18"/>
        <v>0</v>
      </c>
      <c r="E216" s="5">
        <f t="shared" si="19"/>
        <v>0</v>
      </c>
      <c r="F216" s="6"/>
      <c r="G216" s="6"/>
      <c r="H216" s="6"/>
      <c r="I216" s="6"/>
      <c r="J216" s="6"/>
    </row>
    <row r="217" spans="1:10">
      <c r="A217" s="16">
        <v>198</v>
      </c>
      <c r="B217" s="10">
        <f t="shared" si="16"/>
        <v>0</v>
      </c>
      <c r="C217" s="10">
        <f t="shared" si="17"/>
        <v>0</v>
      </c>
      <c r="D217" s="10">
        <f t="shared" si="18"/>
        <v>0</v>
      </c>
      <c r="E217" s="5">
        <f t="shared" si="19"/>
        <v>0</v>
      </c>
      <c r="F217" s="6"/>
      <c r="G217" s="6"/>
      <c r="H217" s="6"/>
      <c r="I217" s="6"/>
      <c r="J217" s="6"/>
    </row>
    <row r="218" spans="1:10">
      <c r="A218" s="16">
        <v>199</v>
      </c>
      <c r="B218" s="10">
        <f t="shared" si="16"/>
        <v>0</v>
      </c>
      <c r="C218" s="10">
        <f t="shared" si="17"/>
        <v>0</v>
      </c>
      <c r="D218" s="10">
        <f t="shared" si="18"/>
        <v>0</v>
      </c>
      <c r="E218" s="5">
        <f t="shared" si="19"/>
        <v>0</v>
      </c>
      <c r="F218" s="6"/>
      <c r="G218" s="6"/>
      <c r="H218" s="6"/>
      <c r="I218" s="6"/>
      <c r="J218" s="6"/>
    </row>
    <row r="219" spans="1:10">
      <c r="A219" s="16">
        <v>200</v>
      </c>
      <c r="B219" s="10">
        <f t="shared" si="16"/>
        <v>0</v>
      </c>
      <c r="C219" s="10">
        <f t="shared" si="17"/>
        <v>0</v>
      </c>
      <c r="D219" s="10">
        <f t="shared" si="18"/>
        <v>0</v>
      </c>
      <c r="E219" s="5">
        <f t="shared" si="19"/>
        <v>0</v>
      </c>
      <c r="F219" s="6"/>
      <c r="G219" s="6"/>
      <c r="H219" s="6"/>
      <c r="I219" s="6"/>
      <c r="J219" s="6"/>
    </row>
    <row r="220" spans="1:10">
      <c r="A220" s="16">
        <v>201</v>
      </c>
      <c r="B220" s="10">
        <f t="shared" si="16"/>
        <v>0</v>
      </c>
      <c r="C220" s="10">
        <f t="shared" si="17"/>
        <v>0</v>
      </c>
      <c r="D220" s="10">
        <f t="shared" si="18"/>
        <v>0</v>
      </c>
      <c r="E220" s="5">
        <f t="shared" si="19"/>
        <v>0</v>
      </c>
      <c r="F220" s="6"/>
      <c r="G220" s="6"/>
      <c r="H220" s="6"/>
      <c r="I220" s="6"/>
      <c r="J220" s="6"/>
    </row>
    <row r="221" spans="1:10">
      <c r="A221" s="16">
        <v>202</v>
      </c>
      <c r="B221" s="10">
        <f t="shared" si="16"/>
        <v>0</v>
      </c>
      <c r="C221" s="10">
        <f t="shared" si="17"/>
        <v>0</v>
      </c>
      <c r="D221" s="10">
        <f t="shared" si="18"/>
        <v>0</v>
      </c>
      <c r="E221" s="5">
        <f t="shared" si="19"/>
        <v>0</v>
      </c>
      <c r="F221" s="6"/>
      <c r="G221" s="6"/>
      <c r="H221" s="6"/>
      <c r="I221" s="6"/>
      <c r="J221" s="6"/>
    </row>
    <row r="222" spans="1:10">
      <c r="A222" s="16">
        <v>203</v>
      </c>
      <c r="B222" s="10">
        <f t="shared" si="16"/>
        <v>0</v>
      </c>
      <c r="C222" s="10">
        <f t="shared" si="17"/>
        <v>0</v>
      </c>
      <c r="D222" s="10">
        <f t="shared" si="18"/>
        <v>0</v>
      </c>
      <c r="E222" s="5">
        <f t="shared" si="19"/>
        <v>0</v>
      </c>
      <c r="F222" s="6"/>
      <c r="G222" s="6"/>
      <c r="H222" s="6"/>
      <c r="I222" s="6"/>
      <c r="J222" s="6"/>
    </row>
    <row r="223" spans="1:10">
      <c r="A223" s="16">
        <v>204</v>
      </c>
      <c r="B223" s="10">
        <f t="shared" si="16"/>
        <v>0</v>
      </c>
      <c r="C223" s="10">
        <f t="shared" si="17"/>
        <v>0</v>
      </c>
      <c r="D223" s="10">
        <f t="shared" si="18"/>
        <v>0</v>
      </c>
      <c r="E223" s="5">
        <f t="shared" si="19"/>
        <v>0</v>
      </c>
      <c r="F223" s="6"/>
      <c r="G223" s="6"/>
      <c r="H223" s="6"/>
      <c r="I223" s="6"/>
      <c r="J223" s="6"/>
    </row>
    <row r="224" spans="1:10">
      <c r="A224" s="16">
        <v>205</v>
      </c>
      <c r="B224" s="10">
        <f t="shared" si="16"/>
        <v>0</v>
      </c>
      <c r="C224" s="10">
        <f t="shared" si="17"/>
        <v>0</v>
      </c>
      <c r="D224" s="10">
        <f t="shared" si="18"/>
        <v>0</v>
      </c>
      <c r="E224" s="5">
        <f t="shared" si="19"/>
        <v>0</v>
      </c>
      <c r="F224" s="6"/>
      <c r="G224" s="6"/>
      <c r="H224" s="6"/>
      <c r="I224" s="6"/>
      <c r="J224" s="6"/>
    </row>
    <row r="225" spans="1:10">
      <c r="A225" s="16">
        <v>206</v>
      </c>
      <c r="B225" s="10">
        <f t="shared" si="16"/>
        <v>0</v>
      </c>
      <c r="C225" s="10">
        <f t="shared" si="17"/>
        <v>0</v>
      </c>
      <c r="D225" s="10">
        <f t="shared" si="18"/>
        <v>0</v>
      </c>
      <c r="E225" s="5">
        <f t="shared" si="19"/>
        <v>0</v>
      </c>
      <c r="F225" s="6"/>
      <c r="G225" s="6"/>
      <c r="H225" s="6"/>
      <c r="I225" s="6"/>
      <c r="J225" s="6"/>
    </row>
    <row r="226" spans="1:10">
      <c r="A226" s="16">
        <v>207</v>
      </c>
      <c r="B226" s="10">
        <f t="shared" si="16"/>
        <v>0</v>
      </c>
      <c r="C226" s="10">
        <f t="shared" si="17"/>
        <v>0</v>
      </c>
      <c r="D226" s="10">
        <f t="shared" si="18"/>
        <v>0</v>
      </c>
      <c r="E226" s="5">
        <f t="shared" si="19"/>
        <v>0</v>
      </c>
      <c r="F226" s="6"/>
      <c r="G226" s="6"/>
      <c r="H226" s="6"/>
      <c r="I226" s="6"/>
      <c r="J226" s="6"/>
    </row>
    <row r="227" spans="1:10">
      <c r="A227" s="16">
        <v>208</v>
      </c>
      <c r="B227" s="10">
        <f t="shared" si="16"/>
        <v>0</v>
      </c>
      <c r="C227" s="10">
        <f t="shared" si="17"/>
        <v>0</v>
      </c>
      <c r="D227" s="10">
        <f t="shared" si="18"/>
        <v>0</v>
      </c>
      <c r="E227" s="5">
        <f t="shared" si="19"/>
        <v>0</v>
      </c>
      <c r="F227" s="6"/>
      <c r="G227" s="6"/>
      <c r="H227" s="6"/>
      <c r="I227" s="6"/>
      <c r="J227" s="6"/>
    </row>
    <row r="228" spans="1:10">
      <c r="A228" s="16">
        <v>209</v>
      </c>
      <c r="B228" s="10">
        <f t="shared" si="16"/>
        <v>0</v>
      </c>
      <c r="C228" s="10">
        <f t="shared" si="17"/>
        <v>0</v>
      </c>
      <c r="D228" s="10">
        <f t="shared" si="18"/>
        <v>0</v>
      </c>
      <c r="E228" s="5">
        <f t="shared" si="19"/>
        <v>0</v>
      </c>
      <c r="F228" s="6"/>
      <c r="G228" s="6"/>
      <c r="H228" s="6"/>
      <c r="I228" s="6"/>
      <c r="J228" s="6"/>
    </row>
    <row r="229" spans="1:10">
      <c r="A229" s="16">
        <v>210</v>
      </c>
      <c r="B229" s="10">
        <f t="shared" si="16"/>
        <v>0</v>
      </c>
      <c r="C229" s="10">
        <f t="shared" si="17"/>
        <v>0</v>
      </c>
      <c r="D229" s="10">
        <f t="shared" si="18"/>
        <v>0</v>
      </c>
      <c r="E229" s="5">
        <f t="shared" si="19"/>
        <v>0</v>
      </c>
      <c r="F229" s="6"/>
      <c r="G229" s="6"/>
      <c r="H229" s="6"/>
      <c r="I229" s="6"/>
      <c r="J229" s="6"/>
    </row>
    <row r="230" spans="1:10">
      <c r="A230" s="16">
        <v>211</v>
      </c>
      <c r="B230" s="10">
        <f t="shared" si="16"/>
        <v>0</v>
      </c>
      <c r="C230" s="10">
        <f t="shared" si="17"/>
        <v>0</v>
      </c>
      <c r="D230" s="10">
        <f t="shared" si="18"/>
        <v>0</v>
      </c>
      <c r="E230" s="5">
        <f t="shared" si="19"/>
        <v>0</v>
      </c>
      <c r="F230" s="6"/>
      <c r="G230" s="6"/>
      <c r="H230" s="6"/>
      <c r="I230" s="6"/>
      <c r="J230" s="6"/>
    </row>
    <row r="231" spans="1:10">
      <c r="A231" s="16">
        <v>212</v>
      </c>
      <c r="B231" s="10">
        <f t="shared" si="16"/>
        <v>0</v>
      </c>
      <c r="C231" s="10">
        <f t="shared" si="17"/>
        <v>0</v>
      </c>
      <c r="D231" s="10">
        <f t="shared" si="18"/>
        <v>0</v>
      </c>
      <c r="E231" s="5">
        <f t="shared" si="19"/>
        <v>0</v>
      </c>
      <c r="F231" s="6"/>
      <c r="G231" s="6"/>
      <c r="H231" s="6"/>
      <c r="I231" s="6"/>
      <c r="J231" s="6"/>
    </row>
    <row r="232" spans="1:10">
      <c r="A232" s="16">
        <v>213</v>
      </c>
      <c r="B232" s="10">
        <f t="shared" si="16"/>
        <v>0</v>
      </c>
      <c r="C232" s="10">
        <f t="shared" si="17"/>
        <v>0</v>
      </c>
      <c r="D232" s="10">
        <f t="shared" si="18"/>
        <v>0</v>
      </c>
      <c r="E232" s="5">
        <f t="shared" si="19"/>
        <v>0</v>
      </c>
      <c r="F232" s="6"/>
      <c r="G232" s="6"/>
      <c r="H232" s="6"/>
      <c r="I232" s="6"/>
      <c r="J232" s="6"/>
    </row>
    <row r="233" spans="1:10">
      <c r="A233" s="16">
        <v>214</v>
      </c>
      <c r="B233" s="10">
        <f t="shared" si="16"/>
        <v>0</v>
      </c>
      <c r="C233" s="10">
        <f t="shared" si="17"/>
        <v>0</v>
      </c>
      <c r="D233" s="10">
        <f t="shared" si="18"/>
        <v>0</v>
      </c>
      <c r="E233" s="5">
        <f t="shared" si="19"/>
        <v>0</v>
      </c>
      <c r="F233" s="6"/>
      <c r="G233" s="6"/>
      <c r="H233" s="6"/>
      <c r="I233" s="6"/>
      <c r="J233" s="6"/>
    </row>
    <row r="234" spans="1:10">
      <c r="A234" s="16">
        <v>215</v>
      </c>
      <c r="B234" s="10">
        <f t="shared" si="16"/>
        <v>0</v>
      </c>
      <c r="C234" s="10">
        <f t="shared" si="17"/>
        <v>0</v>
      </c>
      <c r="D234" s="10">
        <f t="shared" si="18"/>
        <v>0</v>
      </c>
      <c r="E234" s="5">
        <f t="shared" si="19"/>
        <v>0</v>
      </c>
      <c r="F234" s="6"/>
      <c r="G234" s="6"/>
      <c r="H234" s="6"/>
      <c r="I234" s="6"/>
      <c r="J234" s="6"/>
    </row>
    <row r="235" spans="1:10">
      <c r="A235" s="16">
        <v>216</v>
      </c>
      <c r="B235" s="10">
        <f t="shared" si="16"/>
        <v>0</v>
      </c>
      <c r="C235" s="10">
        <f t="shared" si="17"/>
        <v>0</v>
      </c>
      <c r="D235" s="10">
        <f t="shared" si="18"/>
        <v>0</v>
      </c>
      <c r="E235" s="5">
        <f t="shared" si="19"/>
        <v>0</v>
      </c>
      <c r="F235" s="6"/>
      <c r="G235" s="6"/>
      <c r="H235" s="6"/>
      <c r="I235" s="6"/>
      <c r="J235" s="6"/>
    </row>
    <row r="236" spans="1:10">
      <c r="A236" s="16">
        <v>217</v>
      </c>
      <c r="B236" s="10">
        <f t="shared" si="16"/>
        <v>0</v>
      </c>
      <c r="C236" s="10">
        <f t="shared" si="17"/>
        <v>0</v>
      </c>
      <c r="D236" s="10">
        <f t="shared" si="18"/>
        <v>0</v>
      </c>
      <c r="E236" s="5">
        <f t="shared" si="19"/>
        <v>0</v>
      </c>
      <c r="F236" s="6"/>
      <c r="G236" s="6"/>
      <c r="H236" s="6"/>
      <c r="I236" s="6"/>
      <c r="J236" s="6"/>
    </row>
    <row r="237" spans="1:10">
      <c r="A237" s="16">
        <v>218</v>
      </c>
      <c r="B237" s="10">
        <f t="shared" si="16"/>
        <v>0</v>
      </c>
      <c r="C237" s="10">
        <f t="shared" si="17"/>
        <v>0</v>
      </c>
      <c r="D237" s="10">
        <f t="shared" si="18"/>
        <v>0</v>
      </c>
      <c r="E237" s="5">
        <f t="shared" si="19"/>
        <v>0</v>
      </c>
      <c r="F237" s="6"/>
      <c r="G237" s="6"/>
      <c r="H237" s="6"/>
      <c r="I237" s="6"/>
      <c r="J237" s="6"/>
    </row>
    <row r="238" spans="1:10">
      <c r="A238" s="16">
        <v>219</v>
      </c>
      <c r="B238" s="10">
        <f t="shared" si="16"/>
        <v>0</v>
      </c>
      <c r="C238" s="10">
        <f t="shared" si="17"/>
        <v>0</v>
      </c>
      <c r="D238" s="10">
        <f t="shared" si="18"/>
        <v>0</v>
      </c>
      <c r="E238" s="5">
        <f t="shared" si="19"/>
        <v>0</v>
      </c>
      <c r="F238" s="6"/>
      <c r="G238" s="6"/>
      <c r="H238" s="6"/>
      <c r="I238" s="6"/>
      <c r="J238" s="6"/>
    </row>
    <row r="239" spans="1:10">
      <c r="A239" s="16">
        <v>220</v>
      </c>
      <c r="B239" s="10">
        <f t="shared" si="16"/>
        <v>0</v>
      </c>
      <c r="C239" s="10">
        <f t="shared" si="17"/>
        <v>0</v>
      </c>
      <c r="D239" s="10">
        <f t="shared" si="18"/>
        <v>0</v>
      </c>
      <c r="E239" s="5">
        <f t="shared" si="19"/>
        <v>0</v>
      </c>
      <c r="F239" s="6"/>
      <c r="G239" s="6"/>
      <c r="H239" s="6"/>
      <c r="I239" s="6"/>
      <c r="J239" s="6"/>
    </row>
    <row r="240" spans="1:10">
      <c r="A240" s="16">
        <v>221</v>
      </c>
      <c r="B240" s="10">
        <f t="shared" si="16"/>
        <v>0</v>
      </c>
      <c r="C240" s="10">
        <f t="shared" si="17"/>
        <v>0</v>
      </c>
      <c r="D240" s="10">
        <f t="shared" si="18"/>
        <v>0</v>
      </c>
      <c r="E240" s="5">
        <f t="shared" si="19"/>
        <v>0</v>
      </c>
      <c r="F240" s="6"/>
      <c r="G240" s="6"/>
      <c r="H240" s="6"/>
      <c r="I240" s="6"/>
      <c r="J240" s="6"/>
    </row>
    <row r="241" spans="1:10">
      <c r="A241" s="16">
        <v>222</v>
      </c>
      <c r="B241" s="10">
        <f t="shared" si="16"/>
        <v>0</v>
      </c>
      <c r="C241" s="10">
        <f t="shared" si="17"/>
        <v>0</v>
      </c>
      <c r="D241" s="10">
        <f t="shared" si="18"/>
        <v>0</v>
      </c>
      <c r="E241" s="5">
        <f t="shared" si="19"/>
        <v>0</v>
      </c>
      <c r="F241" s="6"/>
      <c r="G241" s="6"/>
      <c r="H241" s="6"/>
      <c r="I241" s="6"/>
      <c r="J241" s="6"/>
    </row>
    <row r="242" spans="1:10">
      <c r="A242" s="16">
        <v>223</v>
      </c>
      <c r="B242" s="10">
        <f t="shared" si="16"/>
        <v>0</v>
      </c>
      <c r="C242" s="10">
        <f t="shared" si="17"/>
        <v>0</v>
      </c>
      <c r="D242" s="10">
        <f t="shared" si="18"/>
        <v>0</v>
      </c>
      <c r="E242" s="5">
        <f t="shared" si="19"/>
        <v>0</v>
      </c>
      <c r="F242" s="6"/>
      <c r="G242" s="6"/>
      <c r="H242" s="6"/>
      <c r="I242" s="6"/>
      <c r="J242" s="6"/>
    </row>
    <row r="243" spans="1:10">
      <c r="A243" s="16">
        <v>224</v>
      </c>
      <c r="B243" s="10">
        <f t="shared" si="16"/>
        <v>0</v>
      </c>
      <c r="C243" s="10">
        <f t="shared" si="17"/>
        <v>0</v>
      </c>
      <c r="D243" s="10">
        <f t="shared" si="18"/>
        <v>0</v>
      </c>
      <c r="E243" s="5">
        <f t="shared" si="19"/>
        <v>0</v>
      </c>
      <c r="F243" s="6"/>
      <c r="G243" s="6"/>
      <c r="H243" s="6"/>
      <c r="I243" s="6"/>
      <c r="J243" s="6"/>
    </row>
    <row r="244" spans="1:10">
      <c r="A244" s="16">
        <v>225</v>
      </c>
      <c r="B244" s="10">
        <f t="shared" si="16"/>
        <v>0</v>
      </c>
      <c r="C244" s="10">
        <f t="shared" si="17"/>
        <v>0</v>
      </c>
      <c r="D244" s="10">
        <f t="shared" si="18"/>
        <v>0</v>
      </c>
      <c r="E244" s="5">
        <f t="shared" si="19"/>
        <v>0</v>
      </c>
      <c r="F244" s="6"/>
      <c r="G244" s="6"/>
      <c r="H244" s="6"/>
      <c r="I244" s="6"/>
      <c r="J244" s="6"/>
    </row>
    <row r="245" spans="1:10">
      <c r="A245" s="16">
        <v>226</v>
      </c>
      <c r="B245" s="10">
        <f t="shared" si="16"/>
        <v>0</v>
      </c>
      <c r="C245" s="10">
        <f t="shared" si="17"/>
        <v>0</v>
      </c>
      <c r="D245" s="10">
        <f t="shared" si="18"/>
        <v>0</v>
      </c>
      <c r="E245" s="5">
        <f t="shared" si="19"/>
        <v>0</v>
      </c>
      <c r="F245" s="6"/>
      <c r="G245" s="6"/>
      <c r="H245" s="6"/>
      <c r="I245" s="6"/>
      <c r="J245" s="6"/>
    </row>
    <row r="246" spans="1:10">
      <c r="A246" s="16">
        <v>227</v>
      </c>
      <c r="B246" s="10">
        <f t="shared" si="16"/>
        <v>0</v>
      </c>
      <c r="C246" s="10">
        <f t="shared" si="17"/>
        <v>0</v>
      </c>
      <c r="D246" s="10">
        <f t="shared" si="18"/>
        <v>0</v>
      </c>
      <c r="E246" s="5">
        <f t="shared" si="19"/>
        <v>0</v>
      </c>
      <c r="F246" s="6"/>
      <c r="G246" s="6"/>
      <c r="H246" s="6"/>
      <c r="I246" s="6"/>
      <c r="J246" s="6"/>
    </row>
    <row r="247" spans="1:10">
      <c r="A247" s="16">
        <v>228</v>
      </c>
      <c r="B247" s="10">
        <f t="shared" si="16"/>
        <v>0</v>
      </c>
      <c r="C247" s="10">
        <f t="shared" si="17"/>
        <v>0</v>
      </c>
      <c r="D247" s="10">
        <f t="shared" si="18"/>
        <v>0</v>
      </c>
      <c r="E247" s="5">
        <f t="shared" si="19"/>
        <v>0</v>
      </c>
      <c r="F247" s="6"/>
      <c r="G247" s="6"/>
      <c r="H247" s="6"/>
      <c r="I247" s="6"/>
      <c r="J247" s="6"/>
    </row>
    <row r="248" spans="1:10">
      <c r="A248" s="16">
        <v>229</v>
      </c>
      <c r="B248" s="10">
        <f t="shared" si="16"/>
        <v>0</v>
      </c>
      <c r="C248" s="10">
        <f t="shared" si="17"/>
        <v>0</v>
      </c>
      <c r="D248" s="10">
        <f t="shared" si="18"/>
        <v>0</v>
      </c>
      <c r="E248" s="5">
        <f t="shared" si="19"/>
        <v>0</v>
      </c>
      <c r="F248" s="6"/>
      <c r="G248" s="6"/>
      <c r="H248" s="6"/>
      <c r="I248" s="6"/>
      <c r="J248" s="6"/>
    </row>
    <row r="249" spans="1:10">
      <c r="A249" s="16">
        <v>230</v>
      </c>
      <c r="B249" s="10">
        <f t="shared" si="16"/>
        <v>0</v>
      </c>
      <c r="C249" s="10">
        <f t="shared" si="17"/>
        <v>0</v>
      </c>
      <c r="D249" s="10">
        <f t="shared" si="18"/>
        <v>0</v>
      </c>
      <c r="E249" s="5">
        <f t="shared" si="19"/>
        <v>0</v>
      </c>
      <c r="F249" s="6"/>
      <c r="G249" s="6"/>
      <c r="H249" s="6"/>
      <c r="I249" s="6"/>
      <c r="J249" s="6"/>
    </row>
    <row r="250" spans="1:10">
      <c r="A250" s="16">
        <v>231</v>
      </c>
      <c r="B250" s="10">
        <f t="shared" si="16"/>
        <v>0</v>
      </c>
      <c r="C250" s="10">
        <f t="shared" si="17"/>
        <v>0</v>
      </c>
      <c r="D250" s="10">
        <f t="shared" si="18"/>
        <v>0</v>
      </c>
      <c r="E250" s="5">
        <f t="shared" si="19"/>
        <v>0</v>
      </c>
      <c r="F250" s="6"/>
      <c r="G250" s="6"/>
      <c r="H250" s="6"/>
      <c r="I250" s="6"/>
      <c r="J250" s="6"/>
    </row>
    <row r="251" spans="1:10">
      <c r="A251" s="16">
        <v>232</v>
      </c>
      <c r="B251" s="10">
        <f t="shared" si="16"/>
        <v>0</v>
      </c>
      <c r="C251" s="10">
        <f t="shared" si="17"/>
        <v>0</v>
      </c>
      <c r="D251" s="10">
        <f t="shared" si="18"/>
        <v>0</v>
      </c>
      <c r="E251" s="5">
        <f t="shared" si="19"/>
        <v>0</v>
      </c>
      <c r="F251" s="6"/>
      <c r="G251" s="6"/>
      <c r="H251" s="6"/>
      <c r="I251" s="6"/>
      <c r="J251" s="6"/>
    </row>
    <row r="252" spans="1:10">
      <c r="A252" s="16">
        <v>233</v>
      </c>
      <c r="B252" s="10">
        <f t="shared" si="16"/>
        <v>0</v>
      </c>
      <c r="C252" s="10">
        <f t="shared" si="17"/>
        <v>0</v>
      </c>
      <c r="D252" s="10">
        <f t="shared" si="18"/>
        <v>0</v>
      </c>
      <c r="E252" s="5">
        <f t="shared" si="19"/>
        <v>0</v>
      </c>
      <c r="F252" s="6"/>
      <c r="G252" s="6"/>
      <c r="H252" s="6"/>
      <c r="I252" s="6"/>
      <c r="J252" s="6"/>
    </row>
    <row r="253" spans="1:10">
      <c r="A253" s="16">
        <v>234</v>
      </c>
      <c r="B253" s="10">
        <f t="shared" si="16"/>
        <v>0</v>
      </c>
      <c r="C253" s="10">
        <f t="shared" si="17"/>
        <v>0</v>
      </c>
      <c r="D253" s="10">
        <f t="shared" si="18"/>
        <v>0</v>
      </c>
      <c r="E253" s="5">
        <f t="shared" si="19"/>
        <v>0</v>
      </c>
      <c r="F253" s="6"/>
      <c r="G253" s="6"/>
      <c r="H253" s="6"/>
      <c r="I253" s="6"/>
      <c r="J253" s="6"/>
    </row>
    <row r="254" spans="1:10">
      <c r="A254" s="16">
        <v>235</v>
      </c>
      <c r="B254" s="10">
        <f t="shared" si="16"/>
        <v>0</v>
      </c>
      <c r="C254" s="10">
        <f t="shared" si="17"/>
        <v>0</v>
      </c>
      <c r="D254" s="10">
        <f t="shared" si="18"/>
        <v>0</v>
      </c>
      <c r="E254" s="5">
        <f t="shared" si="19"/>
        <v>0</v>
      </c>
      <c r="F254" s="6"/>
      <c r="G254" s="6"/>
      <c r="H254" s="6"/>
      <c r="I254" s="6"/>
      <c r="J254" s="6"/>
    </row>
    <row r="255" spans="1:10">
      <c r="A255" s="16">
        <v>236</v>
      </c>
      <c r="B255" s="10">
        <f t="shared" si="16"/>
        <v>0</v>
      </c>
      <c r="C255" s="10">
        <f t="shared" si="17"/>
        <v>0</v>
      </c>
      <c r="D255" s="10">
        <f t="shared" si="18"/>
        <v>0</v>
      </c>
      <c r="E255" s="5">
        <f t="shared" si="19"/>
        <v>0</v>
      </c>
      <c r="F255" s="6"/>
      <c r="G255" s="6"/>
      <c r="H255" s="6"/>
      <c r="I255" s="6"/>
      <c r="J255" s="6"/>
    </row>
    <row r="256" spans="1:10">
      <c r="A256" s="16">
        <v>237</v>
      </c>
      <c r="B256" s="10">
        <f t="shared" si="16"/>
        <v>0</v>
      </c>
      <c r="C256" s="10">
        <f t="shared" si="17"/>
        <v>0</v>
      </c>
      <c r="D256" s="10">
        <f t="shared" si="18"/>
        <v>0</v>
      </c>
      <c r="E256" s="5">
        <f t="shared" si="19"/>
        <v>0</v>
      </c>
      <c r="F256" s="6"/>
      <c r="G256" s="6"/>
      <c r="H256" s="6"/>
      <c r="I256" s="6"/>
      <c r="J256" s="6"/>
    </row>
    <row r="257" spans="1:10">
      <c r="A257" s="16">
        <v>238</v>
      </c>
      <c r="B257" s="10">
        <f t="shared" si="16"/>
        <v>0</v>
      </c>
      <c r="C257" s="10">
        <f t="shared" si="17"/>
        <v>0</v>
      </c>
      <c r="D257" s="10">
        <f t="shared" si="18"/>
        <v>0</v>
      </c>
      <c r="E257" s="5">
        <f t="shared" si="19"/>
        <v>0</v>
      </c>
      <c r="F257" s="6"/>
      <c r="G257" s="6"/>
      <c r="H257" s="6"/>
      <c r="I257" s="6"/>
      <c r="J257" s="6"/>
    </row>
    <row r="258" spans="1:10">
      <c r="A258" s="16">
        <v>239</v>
      </c>
      <c r="B258" s="10">
        <f t="shared" si="16"/>
        <v>0</v>
      </c>
      <c r="C258" s="10">
        <f t="shared" si="17"/>
        <v>0</v>
      </c>
      <c r="D258" s="10">
        <f t="shared" si="18"/>
        <v>0</v>
      </c>
      <c r="E258" s="5">
        <f t="shared" si="19"/>
        <v>0</v>
      </c>
      <c r="F258" s="6"/>
      <c r="G258" s="6"/>
      <c r="H258" s="6"/>
      <c r="I258" s="6"/>
      <c r="J258" s="6"/>
    </row>
    <row r="259" spans="1:10">
      <c r="A259" s="16">
        <v>240</v>
      </c>
      <c r="B259" s="10">
        <f t="shared" si="16"/>
        <v>0</v>
      </c>
      <c r="C259" s="10">
        <f t="shared" si="17"/>
        <v>0</v>
      </c>
      <c r="D259" s="10">
        <f t="shared" si="18"/>
        <v>0</v>
      </c>
      <c r="E259" s="5">
        <f t="shared" si="19"/>
        <v>0</v>
      </c>
      <c r="F259" s="6"/>
      <c r="G259" s="6"/>
      <c r="H259" s="6"/>
      <c r="I259" s="6"/>
      <c r="J259" s="6"/>
    </row>
    <row r="260" spans="1:10">
      <c r="A260" s="16">
        <v>241</v>
      </c>
      <c r="B260" s="10">
        <f t="shared" si="16"/>
        <v>0</v>
      </c>
      <c r="C260" s="10">
        <f t="shared" si="17"/>
        <v>0</v>
      </c>
      <c r="D260" s="10">
        <f t="shared" si="18"/>
        <v>0</v>
      </c>
      <c r="E260" s="5">
        <f t="shared" si="19"/>
        <v>0</v>
      </c>
      <c r="F260" s="6"/>
      <c r="G260" s="6"/>
      <c r="H260" s="6"/>
      <c r="I260" s="6"/>
      <c r="J260" s="6"/>
    </row>
    <row r="261" spans="1:10">
      <c r="A261" s="16">
        <v>242</v>
      </c>
      <c r="B261" s="10">
        <f t="shared" si="16"/>
        <v>0</v>
      </c>
      <c r="C261" s="10">
        <f t="shared" si="17"/>
        <v>0</v>
      </c>
      <c r="D261" s="10">
        <f t="shared" si="18"/>
        <v>0</v>
      </c>
      <c r="E261" s="5">
        <f t="shared" si="19"/>
        <v>0</v>
      </c>
      <c r="F261" s="6"/>
      <c r="G261" s="6"/>
      <c r="H261" s="6"/>
      <c r="I261" s="6"/>
      <c r="J261" s="6"/>
    </row>
    <row r="262" spans="1:10">
      <c r="A262" s="16">
        <v>243</v>
      </c>
      <c r="B262" s="10">
        <f t="shared" si="16"/>
        <v>0</v>
      </c>
      <c r="C262" s="10">
        <f t="shared" si="17"/>
        <v>0</v>
      </c>
      <c r="D262" s="10">
        <f t="shared" si="18"/>
        <v>0</v>
      </c>
      <c r="E262" s="5">
        <f t="shared" si="19"/>
        <v>0</v>
      </c>
      <c r="F262" s="6"/>
      <c r="G262" s="6"/>
      <c r="H262" s="6"/>
      <c r="I262" s="6"/>
      <c r="J262" s="6"/>
    </row>
    <row r="263" spans="1:10">
      <c r="A263" s="16">
        <v>244</v>
      </c>
      <c r="B263" s="10">
        <f t="shared" si="16"/>
        <v>0</v>
      </c>
      <c r="C263" s="10">
        <f t="shared" si="17"/>
        <v>0</v>
      </c>
      <c r="D263" s="10">
        <f t="shared" si="18"/>
        <v>0</v>
      </c>
      <c r="E263" s="5">
        <f t="shared" si="19"/>
        <v>0</v>
      </c>
      <c r="F263" s="6"/>
      <c r="G263" s="6"/>
      <c r="H263" s="6"/>
      <c r="I263" s="6"/>
      <c r="J263" s="6"/>
    </row>
    <row r="264" spans="1:10">
      <c r="A264" s="16">
        <v>245</v>
      </c>
      <c r="B264" s="10">
        <f t="shared" si="16"/>
        <v>0</v>
      </c>
      <c r="C264" s="10">
        <f t="shared" si="17"/>
        <v>0</v>
      </c>
      <c r="D264" s="10">
        <f t="shared" si="18"/>
        <v>0</v>
      </c>
      <c r="E264" s="5">
        <f t="shared" si="19"/>
        <v>0</v>
      </c>
      <c r="F264" s="6"/>
      <c r="G264" s="6"/>
      <c r="H264" s="6"/>
      <c r="I264" s="6"/>
      <c r="J264" s="6"/>
    </row>
    <row r="265" spans="1:10">
      <c r="A265" s="16">
        <v>246</v>
      </c>
      <c r="B265" s="10">
        <f t="shared" si="16"/>
        <v>0</v>
      </c>
      <c r="C265" s="10">
        <f t="shared" si="17"/>
        <v>0</v>
      </c>
      <c r="D265" s="10">
        <f t="shared" si="18"/>
        <v>0</v>
      </c>
      <c r="E265" s="5">
        <f t="shared" si="19"/>
        <v>0</v>
      </c>
      <c r="F265" s="6"/>
      <c r="G265" s="6"/>
      <c r="H265" s="6"/>
      <c r="I265" s="6"/>
      <c r="J265" s="6"/>
    </row>
    <row r="266" spans="1:10">
      <c r="A266" s="16">
        <v>247</v>
      </c>
      <c r="B266" s="10">
        <f t="shared" si="16"/>
        <v>0</v>
      </c>
      <c r="C266" s="10">
        <f t="shared" si="17"/>
        <v>0</v>
      </c>
      <c r="D266" s="10">
        <f t="shared" si="18"/>
        <v>0</v>
      </c>
      <c r="E266" s="5">
        <f t="shared" si="19"/>
        <v>0</v>
      </c>
      <c r="F266" s="6"/>
      <c r="G266" s="6"/>
      <c r="H266" s="6"/>
      <c r="I266" s="6"/>
      <c r="J266" s="6"/>
    </row>
    <row r="267" spans="1:10">
      <c r="A267" s="16">
        <v>248</v>
      </c>
      <c r="B267" s="10">
        <f t="shared" si="16"/>
        <v>0</v>
      </c>
      <c r="C267" s="10">
        <f t="shared" si="17"/>
        <v>0</v>
      </c>
      <c r="D267" s="10">
        <f t="shared" si="18"/>
        <v>0</v>
      </c>
      <c r="E267" s="5">
        <f t="shared" si="19"/>
        <v>0</v>
      </c>
      <c r="F267" s="6"/>
      <c r="G267" s="6"/>
      <c r="H267" s="6"/>
      <c r="I267" s="6"/>
      <c r="J267" s="6"/>
    </row>
    <row r="268" spans="1:10">
      <c r="A268" s="16">
        <v>249</v>
      </c>
      <c r="B268" s="10">
        <f t="shared" si="16"/>
        <v>0</v>
      </c>
      <c r="C268" s="10">
        <f t="shared" si="17"/>
        <v>0</v>
      </c>
      <c r="D268" s="10">
        <f t="shared" si="18"/>
        <v>0</v>
      </c>
      <c r="E268" s="5">
        <f t="shared" si="19"/>
        <v>0</v>
      </c>
      <c r="F268" s="6"/>
      <c r="G268" s="6"/>
      <c r="H268" s="6"/>
      <c r="I268" s="6"/>
      <c r="J268" s="6"/>
    </row>
    <row r="269" spans="1:10">
      <c r="A269" s="16">
        <v>250</v>
      </c>
      <c r="B269" s="10">
        <f t="shared" si="16"/>
        <v>0</v>
      </c>
      <c r="C269" s="10">
        <f t="shared" si="17"/>
        <v>0</v>
      </c>
      <c r="D269" s="10">
        <f t="shared" si="18"/>
        <v>0</v>
      </c>
      <c r="E269" s="5">
        <f t="shared" si="19"/>
        <v>0</v>
      </c>
      <c r="F269" s="6"/>
      <c r="G269" s="6"/>
      <c r="H269" s="6"/>
      <c r="I269" s="6"/>
      <c r="J269" s="6"/>
    </row>
    <row r="270" spans="1:10">
      <c r="A270" s="16">
        <v>251</v>
      </c>
      <c r="B270" s="10">
        <f t="shared" si="16"/>
        <v>0</v>
      </c>
      <c r="C270" s="10">
        <f t="shared" si="17"/>
        <v>0</v>
      </c>
      <c r="D270" s="10">
        <f t="shared" si="18"/>
        <v>0</v>
      </c>
      <c r="E270" s="5">
        <f t="shared" si="19"/>
        <v>0</v>
      </c>
      <c r="F270" s="6"/>
      <c r="G270" s="6"/>
      <c r="H270" s="6"/>
      <c r="I270" s="6"/>
      <c r="J270" s="6"/>
    </row>
    <row r="271" spans="1:10">
      <c r="A271" s="16">
        <v>252</v>
      </c>
      <c r="B271" s="10">
        <f t="shared" si="16"/>
        <v>0</v>
      </c>
      <c r="C271" s="10">
        <f t="shared" si="17"/>
        <v>0</v>
      </c>
      <c r="D271" s="10">
        <f t="shared" si="18"/>
        <v>0</v>
      </c>
      <c r="E271" s="5">
        <f t="shared" si="19"/>
        <v>0</v>
      </c>
      <c r="F271" s="6"/>
      <c r="G271" s="6"/>
      <c r="H271" s="6"/>
      <c r="I271" s="6"/>
      <c r="J271" s="6"/>
    </row>
    <row r="272" spans="1:10">
      <c r="A272" s="16">
        <v>253</v>
      </c>
      <c r="B272" s="10">
        <f t="shared" si="16"/>
        <v>0</v>
      </c>
      <c r="C272" s="10">
        <f t="shared" si="17"/>
        <v>0</v>
      </c>
      <c r="D272" s="10">
        <f t="shared" si="18"/>
        <v>0</v>
      </c>
      <c r="E272" s="5">
        <f t="shared" si="19"/>
        <v>0</v>
      </c>
      <c r="F272" s="6"/>
      <c r="G272" s="6"/>
      <c r="H272" s="6"/>
      <c r="I272" s="6"/>
      <c r="J272" s="6"/>
    </row>
    <row r="273" spans="1:10">
      <c r="A273" s="16">
        <v>254</v>
      </c>
      <c r="B273" s="10">
        <f t="shared" si="16"/>
        <v>0</v>
      </c>
      <c r="C273" s="10">
        <f t="shared" si="17"/>
        <v>0</v>
      </c>
      <c r="D273" s="10">
        <f t="shared" si="18"/>
        <v>0</v>
      </c>
      <c r="E273" s="5">
        <f t="shared" si="19"/>
        <v>0</v>
      </c>
      <c r="F273" s="6"/>
      <c r="G273" s="6"/>
      <c r="H273" s="6"/>
      <c r="I273" s="6"/>
      <c r="J273" s="6"/>
    </row>
    <row r="274" spans="1:10">
      <c r="A274" s="16">
        <v>255</v>
      </c>
      <c r="B274" s="10">
        <f t="shared" si="16"/>
        <v>0</v>
      </c>
      <c r="C274" s="10">
        <f t="shared" si="17"/>
        <v>0</v>
      </c>
      <c r="D274" s="10">
        <f t="shared" si="18"/>
        <v>0</v>
      </c>
      <c r="E274" s="5">
        <f t="shared" si="19"/>
        <v>0</v>
      </c>
      <c r="F274" s="6"/>
      <c r="G274" s="6"/>
      <c r="H274" s="6"/>
      <c r="I274" s="6"/>
      <c r="J274" s="6"/>
    </row>
    <row r="275" spans="1:10">
      <c r="A275" s="16">
        <v>256</v>
      </c>
      <c r="B275" s="10">
        <f t="shared" si="16"/>
        <v>0</v>
      </c>
      <c r="C275" s="10">
        <f t="shared" si="17"/>
        <v>0</v>
      </c>
      <c r="D275" s="10">
        <f t="shared" si="18"/>
        <v>0</v>
      </c>
      <c r="E275" s="5">
        <f t="shared" si="19"/>
        <v>0</v>
      </c>
      <c r="F275" s="6"/>
      <c r="G275" s="6"/>
      <c r="H275" s="6"/>
      <c r="I275" s="6"/>
      <c r="J275" s="6"/>
    </row>
    <row r="276" spans="1:10">
      <c r="A276" s="16">
        <v>257</v>
      </c>
      <c r="B276" s="10">
        <f t="shared" ref="B276:B339" si="20">IF(A276&lt;=$D$5*12,B275-D276,0)</f>
        <v>0</v>
      </c>
      <c r="C276" s="10">
        <f t="shared" ref="C276:C339" si="21">IF(A276&lt;=$D$5*12,B275*$D$6/12,0)</f>
        <v>0</v>
      </c>
      <c r="D276" s="10">
        <f t="shared" si="18"/>
        <v>0</v>
      </c>
      <c r="E276" s="5">
        <f t="shared" si="19"/>
        <v>0</v>
      </c>
      <c r="F276" s="6"/>
      <c r="G276" s="6"/>
      <c r="H276" s="6"/>
      <c r="I276" s="6"/>
      <c r="J276" s="6"/>
    </row>
    <row r="277" spans="1:10">
      <c r="A277" s="16">
        <v>258</v>
      </c>
      <c r="B277" s="10">
        <f t="shared" si="20"/>
        <v>0</v>
      </c>
      <c r="C277" s="10">
        <f t="shared" si="21"/>
        <v>0</v>
      </c>
      <c r="D277" s="10">
        <f t="shared" ref="D277:D340" si="22">IF($D$3="Annuitätendarlehen",IF(A277&lt;=$D$5*12,E277-C277,0),IF($D$3="Ratendarlehen",IF(AND(A277&lt;=$D$5*12,A277&gt;$D$7),$D$4/($D$5*12-$D$7),0),IF($D$3="Restwertdarlehen",IF(A277=$D$5*12,$D$4,0),0)))</f>
        <v>0</v>
      </c>
      <c r="E277" s="5">
        <f t="shared" ref="E277:E340" si="23">IF($D$3="Annuitätendarlehen",IF(AND(A277&lt;=$D$5*12,A277&gt;$D$7),PMT($D$6/12,$D$5*12-$D$7,-$D$4,$D$8,0),IF(A277&lt;=$D$7,C277,0)),IF($D$3="Ratendarlehen",IF(AND(A277&lt;=$D$5*12,A277&gt;$D$7),$D$4/($D$5*12-$D$7)+C277,IF(A277&lt;=$D$7,C277,0)),IF(AND($D$3="Restwertdarlehen",A277&lt;=$D$5*12),C277+D277,0)))</f>
        <v>0</v>
      </c>
      <c r="F277" s="6"/>
      <c r="G277" s="6"/>
      <c r="H277" s="6"/>
      <c r="I277" s="6"/>
      <c r="J277" s="6"/>
    </row>
    <row r="278" spans="1:10">
      <c r="A278" s="16">
        <v>259</v>
      </c>
      <c r="B278" s="10">
        <f t="shared" si="20"/>
        <v>0</v>
      </c>
      <c r="C278" s="10">
        <f t="shared" si="21"/>
        <v>0</v>
      </c>
      <c r="D278" s="10">
        <f t="shared" si="22"/>
        <v>0</v>
      </c>
      <c r="E278" s="5">
        <f t="shared" si="23"/>
        <v>0</v>
      </c>
      <c r="F278" s="6"/>
      <c r="G278" s="6"/>
      <c r="H278" s="6"/>
      <c r="I278" s="6"/>
      <c r="J278" s="6"/>
    </row>
    <row r="279" spans="1:10">
      <c r="A279" s="16">
        <v>260</v>
      </c>
      <c r="B279" s="10">
        <f t="shared" si="20"/>
        <v>0</v>
      </c>
      <c r="C279" s="10">
        <f t="shared" si="21"/>
        <v>0</v>
      </c>
      <c r="D279" s="10">
        <f t="shared" si="22"/>
        <v>0</v>
      </c>
      <c r="E279" s="5">
        <f t="shared" si="23"/>
        <v>0</v>
      </c>
      <c r="F279" s="6"/>
      <c r="G279" s="6"/>
      <c r="H279" s="6"/>
      <c r="I279" s="6"/>
      <c r="J279" s="6"/>
    </row>
    <row r="280" spans="1:10">
      <c r="A280" s="16">
        <v>261</v>
      </c>
      <c r="B280" s="10">
        <f t="shared" si="20"/>
        <v>0</v>
      </c>
      <c r="C280" s="10">
        <f t="shared" si="21"/>
        <v>0</v>
      </c>
      <c r="D280" s="10">
        <f t="shared" si="22"/>
        <v>0</v>
      </c>
      <c r="E280" s="5">
        <f t="shared" si="23"/>
        <v>0</v>
      </c>
      <c r="F280" s="6"/>
      <c r="G280" s="6"/>
      <c r="H280" s="6"/>
      <c r="I280" s="6"/>
      <c r="J280" s="6"/>
    </row>
    <row r="281" spans="1:10">
      <c r="A281" s="16">
        <v>262</v>
      </c>
      <c r="B281" s="10">
        <f t="shared" si="20"/>
        <v>0</v>
      </c>
      <c r="C281" s="10">
        <f t="shared" si="21"/>
        <v>0</v>
      </c>
      <c r="D281" s="10">
        <f t="shared" si="22"/>
        <v>0</v>
      </c>
      <c r="E281" s="5">
        <f t="shared" si="23"/>
        <v>0</v>
      </c>
      <c r="F281" s="6"/>
      <c r="G281" s="6"/>
      <c r="H281" s="6"/>
      <c r="I281" s="6"/>
      <c r="J281" s="6"/>
    </row>
    <row r="282" spans="1:10">
      <c r="A282" s="16">
        <v>263</v>
      </c>
      <c r="B282" s="10">
        <f t="shared" si="20"/>
        <v>0</v>
      </c>
      <c r="C282" s="10">
        <f t="shared" si="21"/>
        <v>0</v>
      </c>
      <c r="D282" s="10">
        <f t="shared" si="22"/>
        <v>0</v>
      </c>
      <c r="E282" s="5">
        <f t="shared" si="23"/>
        <v>0</v>
      </c>
      <c r="F282" s="6"/>
      <c r="G282" s="6"/>
      <c r="H282" s="6"/>
      <c r="I282" s="6"/>
      <c r="J282" s="6"/>
    </row>
    <row r="283" spans="1:10">
      <c r="A283" s="16">
        <v>264</v>
      </c>
      <c r="B283" s="10">
        <f t="shared" si="20"/>
        <v>0</v>
      </c>
      <c r="C283" s="10">
        <f t="shared" si="21"/>
        <v>0</v>
      </c>
      <c r="D283" s="10">
        <f t="shared" si="22"/>
        <v>0</v>
      </c>
      <c r="E283" s="5">
        <f t="shared" si="23"/>
        <v>0</v>
      </c>
      <c r="F283" s="6"/>
      <c r="G283" s="6"/>
      <c r="H283" s="6"/>
      <c r="I283" s="6"/>
      <c r="J283" s="6"/>
    </row>
    <row r="284" spans="1:10">
      <c r="A284" s="16">
        <v>265</v>
      </c>
      <c r="B284" s="10">
        <f t="shared" si="20"/>
        <v>0</v>
      </c>
      <c r="C284" s="10">
        <f t="shared" si="21"/>
        <v>0</v>
      </c>
      <c r="D284" s="10">
        <f t="shared" si="22"/>
        <v>0</v>
      </c>
      <c r="E284" s="5">
        <f t="shared" si="23"/>
        <v>0</v>
      </c>
      <c r="F284" s="6"/>
      <c r="G284" s="6"/>
      <c r="H284" s="6"/>
      <c r="I284" s="6"/>
      <c r="J284" s="6"/>
    </row>
    <row r="285" spans="1:10">
      <c r="A285" s="16">
        <v>266</v>
      </c>
      <c r="B285" s="10">
        <f t="shared" si="20"/>
        <v>0</v>
      </c>
      <c r="C285" s="10">
        <f t="shared" si="21"/>
        <v>0</v>
      </c>
      <c r="D285" s="10">
        <f t="shared" si="22"/>
        <v>0</v>
      </c>
      <c r="E285" s="5">
        <f t="shared" si="23"/>
        <v>0</v>
      </c>
      <c r="F285" s="6"/>
      <c r="G285" s="6"/>
      <c r="H285" s="6"/>
      <c r="I285" s="6"/>
      <c r="J285" s="6"/>
    </row>
    <row r="286" spans="1:10">
      <c r="A286" s="16">
        <v>267</v>
      </c>
      <c r="B286" s="10">
        <f t="shared" si="20"/>
        <v>0</v>
      </c>
      <c r="C286" s="10">
        <f t="shared" si="21"/>
        <v>0</v>
      </c>
      <c r="D286" s="10">
        <f t="shared" si="22"/>
        <v>0</v>
      </c>
      <c r="E286" s="5">
        <f t="shared" si="23"/>
        <v>0</v>
      </c>
      <c r="F286" s="6"/>
      <c r="G286" s="6"/>
      <c r="H286" s="6"/>
      <c r="I286" s="6"/>
      <c r="J286" s="6"/>
    </row>
    <row r="287" spans="1:10">
      <c r="A287" s="16">
        <v>268</v>
      </c>
      <c r="B287" s="10">
        <f t="shared" si="20"/>
        <v>0</v>
      </c>
      <c r="C287" s="10">
        <f t="shared" si="21"/>
        <v>0</v>
      </c>
      <c r="D287" s="10">
        <f t="shared" si="22"/>
        <v>0</v>
      </c>
      <c r="E287" s="5">
        <f t="shared" si="23"/>
        <v>0</v>
      </c>
      <c r="F287" s="6"/>
      <c r="G287" s="6"/>
      <c r="H287" s="6"/>
      <c r="I287" s="6"/>
      <c r="J287" s="6"/>
    </row>
    <row r="288" spans="1:10">
      <c r="A288" s="16">
        <v>269</v>
      </c>
      <c r="B288" s="10">
        <f t="shared" si="20"/>
        <v>0</v>
      </c>
      <c r="C288" s="10">
        <f t="shared" si="21"/>
        <v>0</v>
      </c>
      <c r="D288" s="10">
        <f t="shared" si="22"/>
        <v>0</v>
      </c>
      <c r="E288" s="5">
        <f t="shared" si="23"/>
        <v>0</v>
      </c>
      <c r="F288" s="6"/>
      <c r="G288" s="6"/>
      <c r="H288" s="6"/>
      <c r="I288" s="6"/>
      <c r="J288" s="6"/>
    </row>
    <row r="289" spans="1:10">
      <c r="A289" s="16">
        <v>270</v>
      </c>
      <c r="B289" s="10">
        <f t="shared" si="20"/>
        <v>0</v>
      </c>
      <c r="C289" s="10">
        <f t="shared" si="21"/>
        <v>0</v>
      </c>
      <c r="D289" s="10">
        <f t="shared" si="22"/>
        <v>0</v>
      </c>
      <c r="E289" s="5">
        <f t="shared" si="23"/>
        <v>0</v>
      </c>
      <c r="F289" s="6"/>
      <c r="G289" s="6"/>
      <c r="H289" s="6"/>
      <c r="I289" s="6"/>
      <c r="J289" s="6"/>
    </row>
    <row r="290" spans="1:10">
      <c r="A290" s="16">
        <v>271</v>
      </c>
      <c r="B290" s="10">
        <f t="shared" si="20"/>
        <v>0</v>
      </c>
      <c r="C290" s="10">
        <f t="shared" si="21"/>
        <v>0</v>
      </c>
      <c r="D290" s="10">
        <f t="shared" si="22"/>
        <v>0</v>
      </c>
      <c r="E290" s="5">
        <f t="shared" si="23"/>
        <v>0</v>
      </c>
      <c r="F290" s="6"/>
      <c r="G290" s="6"/>
      <c r="H290" s="6"/>
      <c r="I290" s="6"/>
      <c r="J290" s="6"/>
    </row>
    <row r="291" spans="1:10">
      <c r="A291" s="16">
        <v>272</v>
      </c>
      <c r="B291" s="10">
        <f t="shared" si="20"/>
        <v>0</v>
      </c>
      <c r="C291" s="10">
        <f t="shared" si="21"/>
        <v>0</v>
      </c>
      <c r="D291" s="10">
        <f t="shared" si="22"/>
        <v>0</v>
      </c>
      <c r="E291" s="5">
        <f t="shared" si="23"/>
        <v>0</v>
      </c>
      <c r="F291" s="6"/>
      <c r="G291" s="6"/>
      <c r="H291" s="6"/>
      <c r="I291" s="6"/>
      <c r="J291" s="6"/>
    </row>
    <row r="292" spans="1:10">
      <c r="A292" s="16">
        <v>273</v>
      </c>
      <c r="B292" s="10">
        <f t="shared" si="20"/>
        <v>0</v>
      </c>
      <c r="C292" s="10">
        <f t="shared" si="21"/>
        <v>0</v>
      </c>
      <c r="D292" s="10">
        <f t="shared" si="22"/>
        <v>0</v>
      </c>
      <c r="E292" s="5">
        <f t="shared" si="23"/>
        <v>0</v>
      </c>
      <c r="F292" s="6"/>
      <c r="G292" s="6"/>
      <c r="H292" s="6"/>
      <c r="I292" s="6"/>
      <c r="J292" s="6"/>
    </row>
    <row r="293" spans="1:10">
      <c r="A293" s="16">
        <v>274</v>
      </c>
      <c r="B293" s="10">
        <f t="shared" si="20"/>
        <v>0</v>
      </c>
      <c r="C293" s="10">
        <f t="shared" si="21"/>
        <v>0</v>
      </c>
      <c r="D293" s="10">
        <f t="shared" si="22"/>
        <v>0</v>
      </c>
      <c r="E293" s="5">
        <f t="shared" si="23"/>
        <v>0</v>
      </c>
      <c r="F293" s="6"/>
      <c r="G293" s="6"/>
      <c r="H293" s="6"/>
      <c r="I293" s="6"/>
      <c r="J293" s="6"/>
    </row>
    <row r="294" spans="1:10">
      <c r="A294" s="16">
        <v>275</v>
      </c>
      <c r="B294" s="10">
        <f t="shared" si="20"/>
        <v>0</v>
      </c>
      <c r="C294" s="10">
        <f t="shared" si="21"/>
        <v>0</v>
      </c>
      <c r="D294" s="10">
        <f t="shared" si="22"/>
        <v>0</v>
      </c>
      <c r="E294" s="5">
        <f t="shared" si="23"/>
        <v>0</v>
      </c>
      <c r="F294" s="6"/>
      <c r="G294" s="6"/>
      <c r="H294" s="6"/>
      <c r="I294" s="6"/>
      <c r="J294" s="6"/>
    </row>
    <row r="295" spans="1:10">
      <c r="A295" s="16">
        <v>276</v>
      </c>
      <c r="B295" s="10">
        <f t="shared" si="20"/>
        <v>0</v>
      </c>
      <c r="C295" s="10">
        <f t="shared" si="21"/>
        <v>0</v>
      </c>
      <c r="D295" s="10">
        <f t="shared" si="22"/>
        <v>0</v>
      </c>
      <c r="E295" s="5">
        <f t="shared" si="23"/>
        <v>0</v>
      </c>
      <c r="F295" s="6"/>
      <c r="G295" s="6"/>
      <c r="H295" s="6"/>
      <c r="I295" s="6"/>
      <c r="J295" s="6"/>
    </row>
    <row r="296" spans="1:10">
      <c r="A296" s="16">
        <v>277</v>
      </c>
      <c r="B296" s="10">
        <f t="shared" si="20"/>
        <v>0</v>
      </c>
      <c r="C296" s="10">
        <f t="shared" si="21"/>
        <v>0</v>
      </c>
      <c r="D296" s="10">
        <f t="shared" si="22"/>
        <v>0</v>
      </c>
      <c r="E296" s="5">
        <f t="shared" si="23"/>
        <v>0</v>
      </c>
      <c r="F296" s="6"/>
      <c r="G296" s="6"/>
      <c r="H296" s="6"/>
      <c r="I296" s="6"/>
      <c r="J296" s="6"/>
    </row>
    <row r="297" spans="1:10">
      <c r="A297" s="16">
        <v>278</v>
      </c>
      <c r="B297" s="10">
        <f t="shared" si="20"/>
        <v>0</v>
      </c>
      <c r="C297" s="10">
        <f t="shared" si="21"/>
        <v>0</v>
      </c>
      <c r="D297" s="10">
        <f t="shared" si="22"/>
        <v>0</v>
      </c>
      <c r="E297" s="5">
        <f t="shared" si="23"/>
        <v>0</v>
      </c>
      <c r="F297" s="6"/>
      <c r="G297" s="6"/>
      <c r="H297" s="6"/>
      <c r="I297" s="6"/>
      <c r="J297" s="6"/>
    </row>
    <row r="298" spans="1:10">
      <c r="A298" s="16">
        <v>279</v>
      </c>
      <c r="B298" s="10">
        <f t="shared" si="20"/>
        <v>0</v>
      </c>
      <c r="C298" s="10">
        <f t="shared" si="21"/>
        <v>0</v>
      </c>
      <c r="D298" s="10">
        <f t="shared" si="22"/>
        <v>0</v>
      </c>
      <c r="E298" s="5">
        <f t="shared" si="23"/>
        <v>0</v>
      </c>
      <c r="F298" s="6"/>
      <c r="G298" s="6"/>
      <c r="H298" s="6"/>
      <c r="I298" s="6"/>
      <c r="J298" s="6"/>
    </row>
    <row r="299" spans="1:10">
      <c r="A299" s="16">
        <v>280</v>
      </c>
      <c r="B299" s="10">
        <f t="shared" si="20"/>
        <v>0</v>
      </c>
      <c r="C299" s="10">
        <f t="shared" si="21"/>
        <v>0</v>
      </c>
      <c r="D299" s="10">
        <f t="shared" si="22"/>
        <v>0</v>
      </c>
      <c r="E299" s="5">
        <f t="shared" si="23"/>
        <v>0</v>
      </c>
      <c r="F299" s="6"/>
      <c r="G299" s="6"/>
      <c r="H299" s="6"/>
      <c r="I299" s="6"/>
      <c r="J299" s="6"/>
    </row>
    <row r="300" spans="1:10">
      <c r="A300" s="16">
        <v>281</v>
      </c>
      <c r="B300" s="10">
        <f t="shared" si="20"/>
        <v>0</v>
      </c>
      <c r="C300" s="10">
        <f t="shared" si="21"/>
        <v>0</v>
      </c>
      <c r="D300" s="10">
        <f t="shared" si="22"/>
        <v>0</v>
      </c>
      <c r="E300" s="5">
        <f t="shared" si="23"/>
        <v>0</v>
      </c>
      <c r="F300" s="6"/>
      <c r="G300" s="6"/>
      <c r="H300" s="6"/>
      <c r="I300" s="6"/>
      <c r="J300" s="6"/>
    </row>
    <row r="301" spans="1:10">
      <c r="A301" s="16">
        <v>282</v>
      </c>
      <c r="B301" s="10">
        <f t="shared" si="20"/>
        <v>0</v>
      </c>
      <c r="C301" s="10">
        <f t="shared" si="21"/>
        <v>0</v>
      </c>
      <c r="D301" s="10">
        <f t="shared" si="22"/>
        <v>0</v>
      </c>
      <c r="E301" s="5">
        <f t="shared" si="23"/>
        <v>0</v>
      </c>
      <c r="F301" s="6"/>
      <c r="G301" s="6"/>
      <c r="H301" s="6"/>
      <c r="I301" s="6"/>
      <c r="J301" s="6"/>
    </row>
    <row r="302" spans="1:10">
      <c r="A302" s="16">
        <v>283</v>
      </c>
      <c r="B302" s="10">
        <f t="shared" si="20"/>
        <v>0</v>
      </c>
      <c r="C302" s="10">
        <f t="shared" si="21"/>
        <v>0</v>
      </c>
      <c r="D302" s="10">
        <f t="shared" si="22"/>
        <v>0</v>
      </c>
      <c r="E302" s="5">
        <f t="shared" si="23"/>
        <v>0</v>
      </c>
      <c r="F302" s="6"/>
      <c r="G302" s="6"/>
      <c r="H302" s="6"/>
      <c r="I302" s="6"/>
      <c r="J302" s="6"/>
    </row>
    <row r="303" spans="1:10">
      <c r="A303" s="16">
        <v>284</v>
      </c>
      <c r="B303" s="10">
        <f t="shared" si="20"/>
        <v>0</v>
      </c>
      <c r="C303" s="10">
        <f t="shared" si="21"/>
        <v>0</v>
      </c>
      <c r="D303" s="10">
        <f t="shared" si="22"/>
        <v>0</v>
      </c>
      <c r="E303" s="5">
        <f t="shared" si="23"/>
        <v>0</v>
      </c>
      <c r="F303" s="6"/>
      <c r="G303" s="6"/>
      <c r="H303" s="6"/>
      <c r="I303" s="6"/>
      <c r="J303" s="6"/>
    </row>
    <row r="304" spans="1:10">
      <c r="A304" s="16">
        <v>285</v>
      </c>
      <c r="B304" s="10">
        <f t="shared" si="20"/>
        <v>0</v>
      </c>
      <c r="C304" s="10">
        <f t="shared" si="21"/>
        <v>0</v>
      </c>
      <c r="D304" s="10">
        <f t="shared" si="22"/>
        <v>0</v>
      </c>
      <c r="E304" s="5">
        <f t="shared" si="23"/>
        <v>0</v>
      </c>
      <c r="F304" s="6"/>
      <c r="G304" s="6"/>
      <c r="H304" s="6"/>
      <c r="I304" s="6"/>
      <c r="J304" s="6"/>
    </row>
    <row r="305" spans="1:10">
      <c r="A305" s="16">
        <v>286</v>
      </c>
      <c r="B305" s="10">
        <f t="shared" si="20"/>
        <v>0</v>
      </c>
      <c r="C305" s="10">
        <f t="shared" si="21"/>
        <v>0</v>
      </c>
      <c r="D305" s="10">
        <f t="shared" si="22"/>
        <v>0</v>
      </c>
      <c r="E305" s="5">
        <f t="shared" si="23"/>
        <v>0</v>
      </c>
      <c r="F305" s="6"/>
      <c r="G305" s="6"/>
      <c r="H305" s="6"/>
      <c r="I305" s="6"/>
      <c r="J305" s="6"/>
    </row>
    <row r="306" spans="1:10">
      <c r="A306" s="16">
        <v>287</v>
      </c>
      <c r="B306" s="10">
        <f t="shared" si="20"/>
        <v>0</v>
      </c>
      <c r="C306" s="10">
        <f t="shared" si="21"/>
        <v>0</v>
      </c>
      <c r="D306" s="10">
        <f t="shared" si="22"/>
        <v>0</v>
      </c>
      <c r="E306" s="5">
        <f t="shared" si="23"/>
        <v>0</v>
      </c>
      <c r="F306" s="6"/>
      <c r="G306" s="6"/>
      <c r="H306" s="6"/>
      <c r="I306" s="6"/>
      <c r="J306" s="6"/>
    </row>
    <row r="307" spans="1:10">
      <c r="A307" s="16">
        <v>288</v>
      </c>
      <c r="B307" s="10">
        <f t="shared" si="20"/>
        <v>0</v>
      </c>
      <c r="C307" s="10">
        <f t="shared" si="21"/>
        <v>0</v>
      </c>
      <c r="D307" s="10">
        <f t="shared" si="22"/>
        <v>0</v>
      </c>
      <c r="E307" s="5">
        <f t="shared" si="23"/>
        <v>0</v>
      </c>
      <c r="F307" s="6"/>
      <c r="G307" s="6"/>
      <c r="H307" s="6"/>
      <c r="I307" s="6"/>
      <c r="J307" s="6"/>
    </row>
    <row r="308" spans="1:10">
      <c r="A308" s="16">
        <v>289</v>
      </c>
      <c r="B308" s="10">
        <f t="shared" si="20"/>
        <v>0</v>
      </c>
      <c r="C308" s="10">
        <f t="shared" si="21"/>
        <v>0</v>
      </c>
      <c r="D308" s="10">
        <f t="shared" si="22"/>
        <v>0</v>
      </c>
      <c r="E308" s="5">
        <f t="shared" si="23"/>
        <v>0</v>
      </c>
      <c r="F308" s="6"/>
      <c r="G308" s="6"/>
      <c r="H308" s="6"/>
      <c r="I308" s="6"/>
      <c r="J308" s="6"/>
    </row>
    <row r="309" spans="1:10">
      <c r="A309" s="16">
        <v>290</v>
      </c>
      <c r="B309" s="10">
        <f t="shared" si="20"/>
        <v>0</v>
      </c>
      <c r="C309" s="10">
        <f t="shared" si="21"/>
        <v>0</v>
      </c>
      <c r="D309" s="10">
        <f t="shared" si="22"/>
        <v>0</v>
      </c>
      <c r="E309" s="5">
        <f t="shared" si="23"/>
        <v>0</v>
      </c>
      <c r="F309" s="6"/>
      <c r="G309" s="6"/>
      <c r="H309" s="6"/>
      <c r="I309" s="6"/>
      <c r="J309" s="6"/>
    </row>
    <row r="310" spans="1:10">
      <c r="A310" s="16">
        <v>291</v>
      </c>
      <c r="B310" s="10">
        <f t="shared" si="20"/>
        <v>0</v>
      </c>
      <c r="C310" s="10">
        <f t="shared" si="21"/>
        <v>0</v>
      </c>
      <c r="D310" s="10">
        <f t="shared" si="22"/>
        <v>0</v>
      </c>
      <c r="E310" s="5">
        <f t="shared" si="23"/>
        <v>0</v>
      </c>
      <c r="F310" s="6"/>
      <c r="G310" s="6"/>
      <c r="H310" s="6"/>
      <c r="I310" s="6"/>
      <c r="J310" s="6"/>
    </row>
    <row r="311" spans="1:10">
      <c r="A311" s="16">
        <v>292</v>
      </c>
      <c r="B311" s="10">
        <f t="shared" si="20"/>
        <v>0</v>
      </c>
      <c r="C311" s="10">
        <f t="shared" si="21"/>
        <v>0</v>
      </c>
      <c r="D311" s="10">
        <f t="shared" si="22"/>
        <v>0</v>
      </c>
      <c r="E311" s="5">
        <f t="shared" si="23"/>
        <v>0</v>
      </c>
      <c r="F311" s="6"/>
      <c r="G311" s="6"/>
      <c r="H311" s="6"/>
      <c r="I311" s="6"/>
      <c r="J311" s="6"/>
    </row>
    <row r="312" spans="1:10">
      <c r="A312" s="16">
        <v>293</v>
      </c>
      <c r="B312" s="10">
        <f t="shared" si="20"/>
        <v>0</v>
      </c>
      <c r="C312" s="10">
        <f t="shared" si="21"/>
        <v>0</v>
      </c>
      <c r="D312" s="10">
        <f t="shared" si="22"/>
        <v>0</v>
      </c>
      <c r="E312" s="5">
        <f t="shared" si="23"/>
        <v>0</v>
      </c>
      <c r="F312" s="6"/>
      <c r="G312" s="6"/>
      <c r="H312" s="6"/>
      <c r="I312" s="6"/>
      <c r="J312" s="6"/>
    </row>
    <row r="313" spans="1:10">
      <c r="A313" s="16">
        <v>294</v>
      </c>
      <c r="B313" s="10">
        <f t="shared" si="20"/>
        <v>0</v>
      </c>
      <c r="C313" s="10">
        <f t="shared" si="21"/>
        <v>0</v>
      </c>
      <c r="D313" s="10">
        <f t="shared" si="22"/>
        <v>0</v>
      </c>
      <c r="E313" s="5">
        <f t="shared" si="23"/>
        <v>0</v>
      </c>
      <c r="F313" s="6"/>
      <c r="G313" s="6"/>
      <c r="H313" s="6"/>
      <c r="I313" s="6"/>
      <c r="J313" s="6"/>
    </row>
    <row r="314" spans="1:10">
      <c r="A314" s="16">
        <v>295</v>
      </c>
      <c r="B314" s="10">
        <f t="shared" si="20"/>
        <v>0</v>
      </c>
      <c r="C314" s="10">
        <f t="shared" si="21"/>
        <v>0</v>
      </c>
      <c r="D314" s="10">
        <f t="shared" si="22"/>
        <v>0</v>
      </c>
      <c r="E314" s="5">
        <f t="shared" si="23"/>
        <v>0</v>
      </c>
      <c r="F314" s="6"/>
      <c r="G314" s="6"/>
      <c r="H314" s="6"/>
      <c r="I314" s="6"/>
      <c r="J314" s="6"/>
    </row>
    <row r="315" spans="1:10">
      <c r="A315" s="16">
        <v>296</v>
      </c>
      <c r="B315" s="10">
        <f t="shared" si="20"/>
        <v>0</v>
      </c>
      <c r="C315" s="10">
        <f t="shared" si="21"/>
        <v>0</v>
      </c>
      <c r="D315" s="10">
        <f t="shared" si="22"/>
        <v>0</v>
      </c>
      <c r="E315" s="5">
        <f t="shared" si="23"/>
        <v>0</v>
      </c>
      <c r="F315" s="6"/>
      <c r="G315" s="6"/>
      <c r="H315" s="6"/>
      <c r="I315" s="6"/>
      <c r="J315" s="6"/>
    </row>
    <row r="316" spans="1:10">
      <c r="A316" s="16">
        <v>297</v>
      </c>
      <c r="B316" s="10">
        <f t="shared" si="20"/>
        <v>0</v>
      </c>
      <c r="C316" s="10">
        <f t="shared" si="21"/>
        <v>0</v>
      </c>
      <c r="D316" s="10">
        <f t="shared" si="22"/>
        <v>0</v>
      </c>
      <c r="E316" s="5">
        <f t="shared" si="23"/>
        <v>0</v>
      </c>
      <c r="F316" s="6"/>
      <c r="G316" s="6"/>
      <c r="H316" s="6"/>
      <c r="I316" s="6"/>
      <c r="J316" s="6"/>
    </row>
    <row r="317" spans="1:10">
      <c r="A317" s="16">
        <v>298</v>
      </c>
      <c r="B317" s="10">
        <f t="shared" si="20"/>
        <v>0</v>
      </c>
      <c r="C317" s="10">
        <f t="shared" si="21"/>
        <v>0</v>
      </c>
      <c r="D317" s="10">
        <f t="shared" si="22"/>
        <v>0</v>
      </c>
      <c r="E317" s="5">
        <f t="shared" si="23"/>
        <v>0</v>
      </c>
      <c r="F317" s="6"/>
      <c r="G317" s="6"/>
      <c r="H317" s="6"/>
      <c r="I317" s="6"/>
      <c r="J317" s="6"/>
    </row>
    <row r="318" spans="1:10">
      <c r="A318" s="16">
        <v>299</v>
      </c>
      <c r="B318" s="10">
        <f t="shared" si="20"/>
        <v>0</v>
      </c>
      <c r="C318" s="10">
        <f t="shared" si="21"/>
        <v>0</v>
      </c>
      <c r="D318" s="10">
        <f t="shared" si="22"/>
        <v>0</v>
      </c>
      <c r="E318" s="5">
        <f t="shared" si="23"/>
        <v>0</v>
      </c>
      <c r="F318" s="6"/>
      <c r="G318" s="6"/>
      <c r="H318" s="6"/>
      <c r="I318" s="6"/>
      <c r="J318" s="6"/>
    </row>
    <row r="319" spans="1:10">
      <c r="A319" s="16">
        <v>300</v>
      </c>
      <c r="B319" s="10">
        <f t="shared" si="20"/>
        <v>0</v>
      </c>
      <c r="C319" s="10">
        <f t="shared" si="21"/>
        <v>0</v>
      </c>
      <c r="D319" s="10">
        <f t="shared" si="22"/>
        <v>0</v>
      </c>
      <c r="E319" s="5">
        <f t="shared" si="23"/>
        <v>0</v>
      </c>
      <c r="F319" s="6"/>
      <c r="G319" s="6"/>
      <c r="H319" s="6"/>
      <c r="I319" s="6"/>
      <c r="J319" s="6"/>
    </row>
    <row r="320" spans="1:10">
      <c r="A320" s="16">
        <v>301</v>
      </c>
      <c r="B320" s="10">
        <f t="shared" si="20"/>
        <v>0</v>
      </c>
      <c r="C320" s="10">
        <f t="shared" si="21"/>
        <v>0</v>
      </c>
      <c r="D320" s="10">
        <f t="shared" si="22"/>
        <v>0</v>
      </c>
      <c r="E320" s="5">
        <f t="shared" si="23"/>
        <v>0</v>
      </c>
      <c r="F320" s="6"/>
      <c r="G320" s="6"/>
      <c r="H320" s="6"/>
      <c r="I320" s="6"/>
      <c r="J320" s="6"/>
    </row>
    <row r="321" spans="1:10">
      <c r="A321" s="16">
        <v>302</v>
      </c>
      <c r="B321" s="10">
        <f t="shared" si="20"/>
        <v>0</v>
      </c>
      <c r="C321" s="10">
        <f t="shared" si="21"/>
        <v>0</v>
      </c>
      <c r="D321" s="10">
        <f t="shared" si="22"/>
        <v>0</v>
      </c>
      <c r="E321" s="5">
        <f t="shared" si="23"/>
        <v>0</v>
      </c>
      <c r="F321" s="6"/>
      <c r="G321" s="6"/>
      <c r="H321" s="6"/>
      <c r="I321" s="6"/>
      <c r="J321" s="6"/>
    </row>
    <row r="322" spans="1:10">
      <c r="A322" s="16">
        <v>303</v>
      </c>
      <c r="B322" s="10">
        <f t="shared" si="20"/>
        <v>0</v>
      </c>
      <c r="C322" s="10">
        <f t="shared" si="21"/>
        <v>0</v>
      </c>
      <c r="D322" s="10">
        <f t="shared" si="22"/>
        <v>0</v>
      </c>
      <c r="E322" s="5">
        <f t="shared" si="23"/>
        <v>0</v>
      </c>
      <c r="F322" s="6"/>
      <c r="G322" s="6"/>
      <c r="H322" s="6"/>
      <c r="I322" s="6"/>
      <c r="J322" s="6"/>
    </row>
    <row r="323" spans="1:10">
      <c r="A323" s="16">
        <v>304</v>
      </c>
      <c r="B323" s="10">
        <f t="shared" si="20"/>
        <v>0</v>
      </c>
      <c r="C323" s="10">
        <f t="shared" si="21"/>
        <v>0</v>
      </c>
      <c r="D323" s="10">
        <f t="shared" si="22"/>
        <v>0</v>
      </c>
      <c r="E323" s="5">
        <f t="shared" si="23"/>
        <v>0</v>
      </c>
      <c r="F323" s="6"/>
      <c r="G323" s="6"/>
      <c r="H323" s="6"/>
      <c r="I323" s="6"/>
      <c r="J323" s="6"/>
    </row>
    <row r="324" spans="1:10">
      <c r="A324" s="16">
        <v>305</v>
      </c>
      <c r="B324" s="10">
        <f t="shared" si="20"/>
        <v>0</v>
      </c>
      <c r="C324" s="10">
        <f t="shared" si="21"/>
        <v>0</v>
      </c>
      <c r="D324" s="10">
        <f t="shared" si="22"/>
        <v>0</v>
      </c>
      <c r="E324" s="5">
        <f t="shared" si="23"/>
        <v>0</v>
      </c>
      <c r="F324" s="6"/>
      <c r="G324" s="6"/>
      <c r="H324" s="6"/>
      <c r="I324" s="6"/>
      <c r="J324" s="6"/>
    </row>
    <row r="325" spans="1:10">
      <c r="A325" s="16">
        <v>306</v>
      </c>
      <c r="B325" s="10">
        <f t="shared" si="20"/>
        <v>0</v>
      </c>
      <c r="C325" s="10">
        <f t="shared" si="21"/>
        <v>0</v>
      </c>
      <c r="D325" s="10">
        <f t="shared" si="22"/>
        <v>0</v>
      </c>
      <c r="E325" s="5">
        <f t="shared" si="23"/>
        <v>0</v>
      </c>
      <c r="F325" s="6"/>
      <c r="G325" s="6"/>
      <c r="H325" s="6"/>
      <c r="I325" s="6"/>
      <c r="J325" s="6"/>
    </row>
    <row r="326" spans="1:10">
      <c r="A326" s="16">
        <v>307</v>
      </c>
      <c r="B326" s="10">
        <f t="shared" si="20"/>
        <v>0</v>
      </c>
      <c r="C326" s="10">
        <f t="shared" si="21"/>
        <v>0</v>
      </c>
      <c r="D326" s="10">
        <f t="shared" si="22"/>
        <v>0</v>
      </c>
      <c r="E326" s="5">
        <f t="shared" si="23"/>
        <v>0</v>
      </c>
      <c r="F326" s="6"/>
      <c r="G326" s="6"/>
      <c r="H326" s="6"/>
      <c r="I326" s="6"/>
      <c r="J326" s="6"/>
    </row>
    <row r="327" spans="1:10">
      <c r="A327" s="16">
        <v>308</v>
      </c>
      <c r="B327" s="10">
        <f t="shared" si="20"/>
        <v>0</v>
      </c>
      <c r="C327" s="10">
        <f t="shared" si="21"/>
        <v>0</v>
      </c>
      <c r="D327" s="10">
        <f t="shared" si="22"/>
        <v>0</v>
      </c>
      <c r="E327" s="5">
        <f t="shared" si="23"/>
        <v>0</v>
      </c>
      <c r="F327" s="6"/>
      <c r="G327" s="6"/>
      <c r="H327" s="6"/>
      <c r="I327" s="6"/>
      <c r="J327" s="6"/>
    </row>
    <row r="328" spans="1:10">
      <c r="A328" s="16">
        <v>309</v>
      </c>
      <c r="B328" s="10">
        <f t="shared" si="20"/>
        <v>0</v>
      </c>
      <c r="C328" s="10">
        <f t="shared" si="21"/>
        <v>0</v>
      </c>
      <c r="D328" s="10">
        <f t="shared" si="22"/>
        <v>0</v>
      </c>
      <c r="E328" s="5">
        <f t="shared" si="23"/>
        <v>0</v>
      </c>
      <c r="F328" s="6"/>
      <c r="G328" s="6"/>
      <c r="H328" s="6"/>
      <c r="I328" s="6"/>
      <c r="J328" s="6"/>
    </row>
    <row r="329" spans="1:10">
      <c r="A329" s="16">
        <v>310</v>
      </c>
      <c r="B329" s="10">
        <f t="shared" si="20"/>
        <v>0</v>
      </c>
      <c r="C329" s="10">
        <f t="shared" si="21"/>
        <v>0</v>
      </c>
      <c r="D329" s="10">
        <f t="shared" si="22"/>
        <v>0</v>
      </c>
      <c r="E329" s="5">
        <f t="shared" si="23"/>
        <v>0</v>
      </c>
      <c r="F329" s="6"/>
      <c r="G329" s="6"/>
      <c r="H329" s="6"/>
      <c r="I329" s="6"/>
      <c r="J329" s="6"/>
    </row>
    <row r="330" spans="1:10">
      <c r="A330" s="16">
        <v>311</v>
      </c>
      <c r="B330" s="10">
        <f t="shared" si="20"/>
        <v>0</v>
      </c>
      <c r="C330" s="10">
        <f t="shared" si="21"/>
        <v>0</v>
      </c>
      <c r="D330" s="10">
        <f t="shared" si="22"/>
        <v>0</v>
      </c>
      <c r="E330" s="5">
        <f t="shared" si="23"/>
        <v>0</v>
      </c>
      <c r="F330" s="6"/>
      <c r="G330" s="6"/>
      <c r="H330" s="6"/>
      <c r="I330" s="6"/>
      <c r="J330" s="6"/>
    </row>
    <row r="331" spans="1:10">
      <c r="A331" s="16">
        <v>312</v>
      </c>
      <c r="B331" s="10">
        <f t="shared" si="20"/>
        <v>0</v>
      </c>
      <c r="C331" s="10">
        <f t="shared" si="21"/>
        <v>0</v>
      </c>
      <c r="D331" s="10">
        <f t="shared" si="22"/>
        <v>0</v>
      </c>
      <c r="E331" s="5">
        <f t="shared" si="23"/>
        <v>0</v>
      </c>
      <c r="F331" s="6"/>
      <c r="G331" s="6"/>
      <c r="H331" s="6"/>
      <c r="I331" s="6"/>
      <c r="J331" s="6"/>
    </row>
    <row r="332" spans="1:10">
      <c r="A332" s="16">
        <v>313</v>
      </c>
      <c r="B332" s="10">
        <f t="shared" si="20"/>
        <v>0</v>
      </c>
      <c r="C332" s="10">
        <f t="shared" si="21"/>
        <v>0</v>
      </c>
      <c r="D332" s="10">
        <f t="shared" si="22"/>
        <v>0</v>
      </c>
      <c r="E332" s="5">
        <f t="shared" si="23"/>
        <v>0</v>
      </c>
      <c r="F332" s="6"/>
      <c r="G332" s="6"/>
      <c r="H332" s="6"/>
      <c r="I332" s="6"/>
      <c r="J332" s="6"/>
    </row>
    <row r="333" spans="1:10">
      <c r="A333" s="16">
        <v>314</v>
      </c>
      <c r="B333" s="10">
        <f t="shared" si="20"/>
        <v>0</v>
      </c>
      <c r="C333" s="10">
        <f t="shared" si="21"/>
        <v>0</v>
      </c>
      <c r="D333" s="10">
        <f t="shared" si="22"/>
        <v>0</v>
      </c>
      <c r="E333" s="5">
        <f t="shared" si="23"/>
        <v>0</v>
      </c>
      <c r="F333" s="6"/>
      <c r="G333" s="6"/>
      <c r="H333" s="6"/>
      <c r="I333" s="6"/>
      <c r="J333" s="6"/>
    </row>
    <row r="334" spans="1:10">
      <c r="A334" s="16">
        <v>315</v>
      </c>
      <c r="B334" s="10">
        <f t="shared" si="20"/>
        <v>0</v>
      </c>
      <c r="C334" s="10">
        <f t="shared" si="21"/>
        <v>0</v>
      </c>
      <c r="D334" s="10">
        <f t="shared" si="22"/>
        <v>0</v>
      </c>
      <c r="E334" s="5">
        <f t="shared" si="23"/>
        <v>0</v>
      </c>
      <c r="F334" s="6"/>
      <c r="G334" s="6"/>
      <c r="H334" s="6"/>
      <c r="I334" s="6"/>
      <c r="J334" s="6"/>
    </row>
    <row r="335" spans="1:10">
      <c r="A335" s="16">
        <v>316</v>
      </c>
      <c r="B335" s="10">
        <f t="shared" si="20"/>
        <v>0</v>
      </c>
      <c r="C335" s="10">
        <f t="shared" si="21"/>
        <v>0</v>
      </c>
      <c r="D335" s="10">
        <f t="shared" si="22"/>
        <v>0</v>
      </c>
      <c r="E335" s="5">
        <f t="shared" si="23"/>
        <v>0</v>
      </c>
      <c r="F335" s="6"/>
      <c r="G335" s="6"/>
      <c r="H335" s="6"/>
      <c r="I335" s="6"/>
      <c r="J335" s="6"/>
    </row>
    <row r="336" spans="1:10">
      <c r="A336" s="16">
        <v>317</v>
      </c>
      <c r="B336" s="10">
        <f t="shared" si="20"/>
        <v>0</v>
      </c>
      <c r="C336" s="10">
        <f t="shared" si="21"/>
        <v>0</v>
      </c>
      <c r="D336" s="10">
        <f t="shared" si="22"/>
        <v>0</v>
      </c>
      <c r="E336" s="5">
        <f t="shared" si="23"/>
        <v>0</v>
      </c>
      <c r="F336" s="6"/>
      <c r="G336" s="6"/>
      <c r="H336" s="6"/>
      <c r="I336" s="6"/>
      <c r="J336" s="6"/>
    </row>
    <row r="337" spans="1:10">
      <c r="A337" s="16">
        <v>318</v>
      </c>
      <c r="B337" s="10">
        <f t="shared" si="20"/>
        <v>0</v>
      </c>
      <c r="C337" s="10">
        <f t="shared" si="21"/>
        <v>0</v>
      </c>
      <c r="D337" s="10">
        <f t="shared" si="22"/>
        <v>0</v>
      </c>
      <c r="E337" s="5">
        <f t="shared" si="23"/>
        <v>0</v>
      </c>
      <c r="F337" s="6"/>
      <c r="G337" s="6"/>
      <c r="H337" s="6"/>
      <c r="I337" s="6"/>
      <c r="J337" s="6"/>
    </row>
    <row r="338" spans="1:10">
      <c r="A338" s="16">
        <v>319</v>
      </c>
      <c r="B338" s="10">
        <f t="shared" si="20"/>
        <v>0</v>
      </c>
      <c r="C338" s="10">
        <f t="shared" si="21"/>
        <v>0</v>
      </c>
      <c r="D338" s="10">
        <f t="shared" si="22"/>
        <v>0</v>
      </c>
      <c r="E338" s="5">
        <f t="shared" si="23"/>
        <v>0</v>
      </c>
      <c r="F338" s="6"/>
      <c r="G338" s="6"/>
      <c r="H338" s="6"/>
      <c r="I338" s="6"/>
      <c r="J338" s="6"/>
    </row>
    <row r="339" spans="1:10">
      <c r="A339" s="16">
        <v>320</v>
      </c>
      <c r="B339" s="10">
        <f t="shared" si="20"/>
        <v>0</v>
      </c>
      <c r="C339" s="10">
        <f t="shared" si="21"/>
        <v>0</v>
      </c>
      <c r="D339" s="10">
        <f t="shared" si="22"/>
        <v>0</v>
      </c>
      <c r="E339" s="5">
        <f t="shared" si="23"/>
        <v>0</v>
      </c>
      <c r="F339" s="6"/>
      <c r="G339" s="6"/>
      <c r="H339" s="6"/>
      <c r="I339" s="6"/>
      <c r="J339" s="6"/>
    </row>
    <row r="340" spans="1:10">
      <c r="A340" s="16">
        <v>321</v>
      </c>
      <c r="B340" s="10">
        <f t="shared" ref="B340:B379" si="24">IF(A340&lt;=$D$5*12,B339-D340,0)</f>
        <v>0</v>
      </c>
      <c r="C340" s="10">
        <f t="shared" ref="C340:C379" si="25">IF(A340&lt;=$D$5*12,B339*$D$6/12,0)</f>
        <v>0</v>
      </c>
      <c r="D340" s="10">
        <f t="shared" si="22"/>
        <v>0</v>
      </c>
      <c r="E340" s="5">
        <f t="shared" si="23"/>
        <v>0</v>
      </c>
      <c r="F340" s="6"/>
      <c r="G340" s="6"/>
      <c r="H340" s="6"/>
      <c r="I340" s="6"/>
      <c r="J340" s="6"/>
    </row>
    <row r="341" spans="1:10">
      <c r="A341" s="16">
        <v>322</v>
      </c>
      <c r="B341" s="10">
        <f t="shared" si="24"/>
        <v>0</v>
      </c>
      <c r="C341" s="10">
        <f t="shared" si="25"/>
        <v>0</v>
      </c>
      <c r="D341" s="10">
        <f t="shared" ref="D341:D379" si="26">IF($D$3="Annuitätendarlehen",IF(A341&lt;=$D$5*12,E341-C341,0),IF($D$3="Ratendarlehen",IF(AND(A341&lt;=$D$5*12,A341&gt;$D$7),$D$4/($D$5*12-$D$7),0),IF($D$3="Restwertdarlehen",IF(A341=$D$5*12,$D$4,0),0)))</f>
        <v>0</v>
      </c>
      <c r="E341" s="5">
        <f t="shared" ref="E341:E379" si="27">IF($D$3="Annuitätendarlehen",IF(AND(A341&lt;=$D$5*12,A341&gt;$D$7),PMT($D$6/12,$D$5*12-$D$7,-$D$4,$D$8,0),IF(A341&lt;=$D$7,C341,0)),IF($D$3="Ratendarlehen",IF(AND(A341&lt;=$D$5*12,A341&gt;$D$7),$D$4/($D$5*12-$D$7)+C341,IF(A341&lt;=$D$7,C341,0)),IF(AND($D$3="Restwertdarlehen",A341&lt;=$D$5*12),C341+D341,0)))</f>
        <v>0</v>
      </c>
      <c r="F341" s="6"/>
      <c r="G341" s="6"/>
      <c r="H341" s="6"/>
      <c r="I341" s="6"/>
      <c r="J341" s="6"/>
    </row>
    <row r="342" spans="1:10">
      <c r="A342" s="16">
        <v>323</v>
      </c>
      <c r="B342" s="10">
        <f t="shared" si="24"/>
        <v>0</v>
      </c>
      <c r="C342" s="10">
        <f t="shared" si="25"/>
        <v>0</v>
      </c>
      <c r="D342" s="10">
        <f t="shared" si="26"/>
        <v>0</v>
      </c>
      <c r="E342" s="5">
        <f t="shared" si="27"/>
        <v>0</v>
      </c>
      <c r="F342" s="6"/>
      <c r="G342" s="6"/>
      <c r="H342" s="6"/>
      <c r="I342" s="6"/>
      <c r="J342" s="6"/>
    </row>
    <row r="343" spans="1:10">
      <c r="A343" s="16">
        <v>324</v>
      </c>
      <c r="B343" s="10">
        <f t="shared" si="24"/>
        <v>0</v>
      </c>
      <c r="C343" s="10">
        <f t="shared" si="25"/>
        <v>0</v>
      </c>
      <c r="D343" s="10">
        <f t="shared" si="26"/>
        <v>0</v>
      </c>
      <c r="E343" s="5">
        <f t="shared" si="27"/>
        <v>0</v>
      </c>
      <c r="F343" s="6"/>
      <c r="G343" s="6"/>
      <c r="H343" s="6"/>
      <c r="I343" s="6"/>
      <c r="J343" s="6"/>
    </row>
    <row r="344" spans="1:10">
      <c r="A344" s="16">
        <v>325</v>
      </c>
      <c r="B344" s="10">
        <f t="shared" si="24"/>
        <v>0</v>
      </c>
      <c r="C344" s="10">
        <f t="shared" si="25"/>
        <v>0</v>
      </c>
      <c r="D344" s="10">
        <f t="shared" si="26"/>
        <v>0</v>
      </c>
      <c r="E344" s="5">
        <f t="shared" si="27"/>
        <v>0</v>
      </c>
      <c r="F344" s="6"/>
      <c r="G344" s="6"/>
      <c r="H344" s="6"/>
      <c r="I344" s="6"/>
      <c r="J344" s="6"/>
    </row>
    <row r="345" spans="1:10">
      <c r="A345" s="16">
        <v>326</v>
      </c>
      <c r="B345" s="10">
        <f t="shared" si="24"/>
        <v>0</v>
      </c>
      <c r="C345" s="10">
        <f t="shared" si="25"/>
        <v>0</v>
      </c>
      <c r="D345" s="10">
        <f t="shared" si="26"/>
        <v>0</v>
      </c>
      <c r="E345" s="5">
        <f t="shared" si="27"/>
        <v>0</v>
      </c>
      <c r="F345" s="6"/>
      <c r="G345" s="6"/>
      <c r="H345" s="6"/>
      <c r="I345" s="6"/>
      <c r="J345" s="6"/>
    </row>
    <row r="346" spans="1:10">
      <c r="A346" s="16">
        <v>327</v>
      </c>
      <c r="B346" s="10">
        <f t="shared" si="24"/>
        <v>0</v>
      </c>
      <c r="C346" s="10">
        <f t="shared" si="25"/>
        <v>0</v>
      </c>
      <c r="D346" s="10">
        <f t="shared" si="26"/>
        <v>0</v>
      </c>
      <c r="E346" s="5">
        <f t="shared" si="27"/>
        <v>0</v>
      </c>
      <c r="F346" s="6"/>
      <c r="G346" s="6"/>
      <c r="H346" s="6"/>
      <c r="I346" s="6"/>
      <c r="J346" s="6"/>
    </row>
    <row r="347" spans="1:10">
      <c r="A347" s="16">
        <v>328</v>
      </c>
      <c r="B347" s="10">
        <f t="shared" si="24"/>
        <v>0</v>
      </c>
      <c r="C347" s="10">
        <f t="shared" si="25"/>
        <v>0</v>
      </c>
      <c r="D347" s="10">
        <f t="shared" si="26"/>
        <v>0</v>
      </c>
      <c r="E347" s="5">
        <f t="shared" si="27"/>
        <v>0</v>
      </c>
      <c r="F347" s="6"/>
      <c r="G347" s="6"/>
      <c r="H347" s="6"/>
      <c r="I347" s="6"/>
      <c r="J347" s="6"/>
    </row>
    <row r="348" spans="1:10">
      <c r="A348" s="16">
        <v>329</v>
      </c>
      <c r="B348" s="10">
        <f t="shared" si="24"/>
        <v>0</v>
      </c>
      <c r="C348" s="10">
        <f t="shared" si="25"/>
        <v>0</v>
      </c>
      <c r="D348" s="10">
        <f t="shared" si="26"/>
        <v>0</v>
      </c>
      <c r="E348" s="5">
        <f t="shared" si="27"/>
        <v>0</v>
      </c>
      <c r="F348" s="6"/>
      <c r="G348" s="6"/>
      <c r="H348" s="6"/>
      <c r="I348" s="6"/>
      <c r="J348" s="6"/>
    </row>
    <row r="349" spans="1:10">
      <c r="A349" s="16">
        <v>330</v>
      </c>
      <c r="B349" s="10">
        <f t="shared" si="24"/>
        <v>0</v>
      </c>
      <c r="C349" s="10">
        <f t="shared" si="25"/>
        <v>0</v>
      </c>
      <c r="D349" s="10">
        <f t="shared" si="26"/>
        <v>0</v>
      </c>
      <c r="E349" s="5">
        <f t="shared" si="27"/>
        <v>0</v>
      </c>
      <c r="F349" s="6"/>
      <c r="G349" s="6"/>
      <c r="H349" s="6"/>
      <c r="I349" s="6"/>
      <c r="J349" s="6"/>
    </row>
    <row r="350" spans="1:10">
      <c r="A350" s="16">
        <v>331</v>
      </c>
      <c r="B350" s="10">
        <f t="shared" si="24"/>
        <v>0</v>
      </c>
      <c r="C350" s="10">
        <f t="shared" si="25"/>
        <v>0</v>
      </c>
      <c r="D350" s="10">
        <f t="shared" si="26"/>
        <v>0</v>
      </c>
      <c r="E350" s="5">
        <f t="shared" si="27"/>
        <v>0</v>
      </c>
      <c r="F350" s="6"/>
      <c r="G350" s="6"/>
      <c r="H350" s="6"/>
      <c r="I350" s="6"/>
      <c r="J350" s="6"/>
    </row>
    <row r="351" spans="1:10">
      <c r="A351" s="16">
        <v>332</v>
      </c>
      <c r="B351" s="10">
        <f t="shared" si="24"/>
        <v>0</v>
      </c>
      <c r="C351" s="10">
        <f t="shared" si="25"/>
        <v>0</v>
      </c>
      <c r="D351" s="10">
        <f t="shared" si="26"/>
        <v>0</v>
      </c>
      <c r="E351" s="5">
        <f t="shared" si="27"/>
        <v>0</v>
      </c>
      <c r="F351" s="6"/>
      <c r="G351" s="6"/>
      <c r="H351" s="6"/>
      <c r="I351" s="6"/>
      <c r="J351" s="6"/>
    </row>
    <row r="352" spans="1:10">
      <c r="A352" s="16">
        <v>333</v>
      </c>
      <c r="B352" s="10">
        <f t="shared" si="24"/>
        <v>0</v>
      </c>
      <c r="C352" s="10">
        <f t="shared" si="25"/>
        <v>0</v>
      </c>
      <c r="D352" s="10">
        <f t="shared" si="26"/>
        <v>0</v>
      </c>
      <c r="E352" s="5">
        <f t="shared" si="27"/>
        <v>0</v>
      </c>
      <c r="F352" s="6"/>
      <c r="G352" s="6"/>
      <c r="H352" s="6"/>
      <c r="I352" s="6"/>
      <c r="J352" s="6"/>
    </row>
    <row r="353" spans="1:10">
      <c r="A353" s="16">
        <v>334</v>
      </c>
      <c r="B353" s="10">
        <f t="shared" si="24"/>
        <v>0</v>
      </c>
      <c r="C353" s="10">
        <f t="shared" si="25"/>
        <v>0</v>
      </c>
      <c r="D353" s="10">
        <f t="shared" si="26"/>
        <v>0</v>
      </c>
      <c r="E353" s="5">
        <f t="shared" si="27"/>
        <v>0</v>
      </c>
      <c r="F353" s="6"/>
      <c r="G353" s="6"/>
      <c r="H353" s="6"/>
      <c r="I353" s="6"/>
      <c r="J353" s="6"/>
    </row>
    <row r="354" spans="1:10">
      <c r="A354" s="16">
        <v>335</v>
      </c>
      <c r="B354" s="10">
        <f t="shared" si="24"/>
        <v>0</v>
      </c>
      <c r="C354" s="10">
        <f t="shared" si="25"/>
        <v>0</v>
      </c>
      <c r="D354" s="10">
        <f t="shared" si="26"/>
        <v>0</v>
      </c>
      <c r="E354" s="5">
        <f t="shared" si="27"/>
        <v>0</v>
      </c>
      <c r="F354" s="6"/>
      <c r="G354" s="6"/>
      <c r="H354" s="6"/>
      <c r="I354" s="6"/>
      <c r="J354" s="6"/>
    </row>
    <row r="355" spans="1:10">
      <c r="A355" s="16">
        <v>336</v>
      </c>
      <c r="B355" s="10">
        <f t="shared" si="24"/>
        <v>0</v>
      </c>
      <c r="C355" s="10">
        <f t="shared" si="25"/>
        <v>0</v>
      </c>
      <c r="D355" s="10">
        <f t="shared" si="26"/>
        <v>0</v>
      </c>
      <c r="E355" s="5">
        <f t="shared" si="27"/>
        <v>0</v>
      </c>
      <c r="F355" s="6"/>
      <c r="G355" s="6"/>
      <c r="H355" s="6"/>
      <c r="I355" s="6"/>
      <c r="J355" s="6"/>
    </row>
    <row r="356" spans="1:10">
      <c r="A356" s="16">
        <v>337</v>
      </c>
      <c r="B356" s="10">
        <f t="shared" si="24"/>
        <v>0</v>
      </c>
      <c r="C356" s="10">
        <f t="shared" si="25"/>
        <v>0</v>
      </c>
      <c r="D356" s="10">
        <f t="shared" si="26"/>
        <v>0</v>
      </c>
      <c r="E356" s="5">
        <f t="shared" si="27"/>
        <v>0</v>
      </c>
      <c r="F356" s="6"/>
      <c r="G356" s="6"/>
      <c r="H356" s="6"/>
      <c r="I356" s="6"/>
      <c r="J356" s="6"/>
    </row>
    <row r="357" spans="1:10">
      <c r="A357" s="16">
        <v>338</v>
      </c>
      <c r="B357" s="10">
        <f t="shared" si="24"/>
        <v>0</v>
      </c>
      <c r="C357" s="10">
        <f t="shared" si="25"/>
        <v>0</v>
      </c>
      <c r="D357" s="10">
        <f t="shared" si="26"/>
        <v>0</v>
      </c>
      <c r="E357" s="5">
        <f t="shared" si="27"/>
        <v>0</v>
      </c>
      <c r="F357" s="6"/>
      <c r="G357" s="6"/>
      <c r="H357" s="6"/>
      <c r="I357" s="6"/>
      <c r="J357" s="6"/>
    </row>
    <row r="358" spans="1:10">
      <c r="A358" s="16">
        <v>339</v>
      </c>
      <c r="B358" s="10">
        <f t="shared" si="24"/>
        <v>0</v>
      </c>
      <c r="C358" s="10">
        <f t="shared" si="25"/>
        <v>0</v>
      </c>
      <c r="D358" s="10">
        <f t="shared" si="26"/>
        <v>0</v>
      </c>
      <c r="E358" s="5">
        <f t="shared" si="27"/>
        <v>0</v>
      </c>
      <c r="F358" s="6"/>
      <c r="G358" s="6"/>
      <c r="H358" s="6"/>
      <c r="I358" s="6"/>
      <c r="J358" s="6"/>
    </row>
    <row r="359" spans="1:10">
      <c r="A359" s="16">
        <v>340</v>
      </c>
      <c r="B359" s="10">
        <f t="shared" si="24"/>
        <v>0</v>
      </c>
      <c r="C359" s="10">
        <f t="shared" si="25"/>
        <v>0</v>
      </c>
      <c r="D359" s="10">
        <f t="shared" si="26"/>
        <v>0</v>
      </c>
      <c r="E359" s="5">
        <f t="shared" si="27"/>
        <v>0</v>
      </c>
      <c r="F359" s="6"/>
      <c r="G359" s="6"/>
      <c r="H359" s="6"/>
      <c r="I359" s="6"/>
      <c r="J359" s="6"/>
    </row>
    <row r="360" spans="1:10">
      <c r="A360" s="16">
        <v>341</v>
      </c>
      <c r="B360" s="10">
        <f t="shared" si="24"/>
        <v>0</v>
      </c>
      <c r="C360" s="10">
        <f t="shared" si="25"/>
        <v>0</v>
      </c>
      <c r="D360" s="10">
        <f t="shared" si="26"/>
        <v>0</v>
      </c>
      <c r="E360" s="5">
        <f t="shared" si="27"/>
        <v>0</v>
      </c>
      <c r="F360" s="6"/>
      <c r="G360" s="6"/>
      <c r="H360" s="6"/>
      <c r="I360" s="6"/>
      <c r="J360" s="6"/>
    </row>
    <row r="361" spans="1:10">
      <c r="A361" s="16">
        <v>342</v>
      </c>
      <c r="B361" s="10">
        <f t="shared" si="24"/>
        <v>0</v>
      </c>
      <c r="C361" s="10">
        <f t="shared" si="25"/>
        <v>0</v>
      </c>
      <c r="D361" s="10">
        <f t="shared" si="26"/>
        <v>0</v>
      </c>
      <c r="E361" s="5">
        <f t="shared" si="27"/>
        <v>0</v>
      </c>
      <c r="F361" s="6"/>
      <c r="G361" s="6"/>
      <c r="H361" s="6"/>
      <c r="I361" s="6"/>
      <c r="J361" s="6"/>
    </row>
    <row r="362" spans="1:10">
      <c r="A362" s="16">
        <v>343</v>
      </c>
      <c r="B362" s="10">
        <f t="shared" si="24"/>
        <v>0</v>
      </c>
      <c r="C362" s="10">
        <f t="shared" si="25"/>
        <v>0</v>
      </c>
      <c r="D362" s="10">
        <f t="shared" si="26"/>
        <v>0</v>
      </c>
      <c r="E362" s="5">
        <f t="shared" si="27"/>
        <v>0</v>
      </c>
      <c r="F362" s="6"/>
      <c r="G362" s="6"/>
      <c r="H362" s="6"/>
      <c r="I362" s="6"/>
      <c r="J362" s="6"/>
    </row>
    <row r="363" spans="1:10">
      <c r="A363" s="16">
        <v>344</v>
      </c>
      <c r="B363" s="10">
        <f t="shared" si="24"/>
        <v>0</v>
      </c>
      <c r="C363" s="10">
        <f t="shared" si="25"/>
        <v>0</v>
      </c>
      <c r="D363" s="10">
        <f t="shared" si="26"/>
        <v>0</v>
      </c>
      <c r="E363" s="5">
        <f t="shared" si="27"/>
        <v>0</v>
      </c>
      <c r="F363" s="6"/>
      <c r="G363" s="6"/>
      <c r="H363" s="6"/>
      <c r="I363" s="6"/>
      <c r="J363" s="6"/>
    </row>
    <row r="364" spans="1:10">
      <c r="A364" s="16">
        <v>345</v>
      </c>
      <c r="B364" s="10">
        <f t="shared" si="24"/>
        <v>0</v>
      </c>
      <c r="C364" s="10">
        <f t="shared" si="25"/>
        <v>0</v>
      </c>
      <c r="D364" s="10">
        <f t="shared" si="26"/>
        <v>0</v>
      </c>
      <c r="E364" s="5">
        <f t="shared" si="27"/>
        <v>0</v>
      </c>
      <c r="F364" s="6"/>
      <c r="G364" s="6"/>
      <c r="H364" s="6"/>
      <c r="I364" s="6"/>
      <c r="J364" s="6"/>
    </row>
    <row r="365" spans="1:10">
      <c r="A365" s="16">
        <v>346</v>
      </c>
      <c r="B365" s="10">
        <f t="shared" si="24"/>
        <v>0</v>
      </c>
      <c r="C365" s="10">
        <f t="shared" si="25"/>
        <v>0</v>
      </c>
      <c r="D365" s="10">
        <f t="shared" si="26"/>
        <v>0</v>
      </c>
      <c r="E365" s="5">
        <f t="shared" si="27"/>
        <v>0</v>
      </c>
      <c r="F365" s="6"/>
      <c r="G365" s="6"/>
      <c r="H365" s="6"/>
      <c r="I365" s="6"/>
      <c r="J365" s="6"/>
    </row>
    <row r="366" spans="1:10">
      <c r="A366" s="16">
        <v>347</v>
      </c>
      <c r="B366" s="10">
        <f t="shared" si="24"/>
        <v>0</v>
      </c>
      <c r="C366" s="10">
        <f t="shared" si="25"/>
        <v>0</v>
      </c>
      <c r="D366" s="10">
        <f t="shared" si="26"/>
        <v>0</v>
      </c>
      <c r="E366" s="5">
        <f t="shared" si="27"/>
        <v>0</v>
      </c>
      <c r="F366" s="6"/>
      <c r="G366" s="6"/>
      <c r="H366" s="6"/>
      <c r="I366" s="6"/>
      <c r="J366" s="6"/>
    </row>
    <row r="367" spans="1:10">
      <c r="A367" s="16">
        <v>348</v>
      </c>
      <c r="B367" s="10">
        <f t="shared" si="24"/>
        <v>0</v>
      </c>
      <c r="C367" s="10">
        <f t="shared" si="25"/>
        <v>0</v>
      </c>
      <c r="D367" s="10">
        <f t="shared" si="26"/>
        <v>0</v>
      </c>
      <c r="E367" s="5">
        <f t="shared" si="27"/>
        <v>0</v>
      </c>
      <c r="F367" s="6"/>
      <c r="G367" s="6"/>
      <c r="H367" s="6"/>
      <c r="I367" s="6"/>
      <c r="J367" s="6"/>
    </row>
    <row r="368" spans="1:10">
      <c r="A368" s="16">
        <v>349</v>
      </c>
      <c r="B368" s="10">
        <f t="shared" si="24"/>
        <v>0</v>
      </c>
      <c r="C368" s="10">
        <f t="shared" si="25"/>
        <v>0</v>
      </c>
      <c r="D368" s="10">
        <f t="shared" si="26"/>
        <v>0</v>
      </c>
      <c r="E368" s="5">
        <f t="shared" si="27"/>
        <v>0</v>
      </c>
      <c r="F368" s="6"/>
      <c r="G368" s="6"/>
      <c r="H368" s="6"/>
      <c r="I368" s="6"/>
      <c r="J368" s="6"/>
    </row>
    <row r="369" spans="1:10">
      <c r="A369" s="16">
        <v>350</v>
      </c>
      <c r="B369" s="10">
        <f t="shared" si="24"/>
        <v>0</v>
      </c>
      <c r="C369" s="10">
        <f t="shared" si="25"/>
        <v>0</v>
      </c>
      <c r="D369" s="10">
        <f t="shared" si="26"/>
        <v>0</v>
      </c>
      <c r="E369" s="5">
        <f t="shared" si="27"/>
        <v>0</v>
      </c>
      <c r="F369" s="6"/>
      <c r="G369" s="6"/>
      <c r="H369" s="6"/>
      <c r="I369" s="6"/>
      <c r="J369" s="6"/>
    </row>
    <row r="370" spans="1:10">
      <c r="A370" s="16">
        <v>351</v>
      </c>
      <c r="B370" s="10">
        <f t="shared" si="24"/>
        <v>0</v>
      </c>
      <c r="C370" s="10">
        <f t="shared" si="25"/>
        <v>0</v>
      </c>
      <c r="D370" s="10">
        <f t="shared" si="26"/>
        <v>0</v>
      </c>
      <c r="E370" s="5">
        <f t="shared" si="27"/>
        <v>0</v>
      </c>
      <c r="F370" s="6"/>
      <c r="G370" s="6"/>
      <c r="H370" s="6"/>
      <c r="I370" s="6"/>
      <c r="J370" s="6"/>
    </row>
    <row r="371" spans="1:10">
      <c r="A371" s="16">
        <v>352</v>
      </c>
      <c r="B371" s="10">
        <f t="shared" si="24"/>
        <v>0</v>
      </c>
      <c r="C371" s="10">
        <f t="shared" si="25"/>
        <v>0</v>
      </c>
      <c r="D371" s="10">
        <f t="shared" si="26"/>
        <v>0</v>
      </c>
      <c r="E371" s="5">
        <f t="shared" si="27"/>
        <v>0</v>
      </c>
      <c r="F371" s="6"/>
      <c r="G371" s="6"/>
      <c r="H371" s="6"/>
      <c r="I371" s="6"/>
      <c r="J371" s="6"/>
    </row>
    <row r="372" spans="1:10">
      <c r="A372" s="16">
        <v>353</v>
      </c>
      <c r="B372" s="10">
        <f t="shared" si="24"/>
        <v>0</v>
      </c>
      <c r="C372" s="10">
        <f t="shared" si="25"/>
        <v>0</v>
      </c>
      <c r="D372" s="10">
        <f t="shared" si="26"/>
        <v>0</v>
      </c>
      <c r="E372" s="5">
        <f t="shared" si="27"/>
        <v>0</v>
      </c>
      <c r="F372" s="6"/>
      <c r="G372" s="6"/>
      <c r="H372" s="6"/>
      <c r="I372" s="6"/>
      <c r="J372" s="6"/>
    </row>
    <row r="373" spans="1:10">
      <c r="A373" s="16">
        <v>354</v>
      </c>
      <c r="B373" s="10">
        <f t="shared" si="24"/>
        <v>0</v>
      </c>
      <c r="C373" s="10">
        <f t="shared" si="25"/>
        <v>0</v>
      </c>
      <c r="D373" s="10">
        <f t="shared" si="26"/>
        <v>0</v>
      </c>
      <c r="E373" s="5">
        <f t="shared" si="27"/>
        <v>0</v>
      </c>
      <c r="F373" s="6"/>
      <c r="G373" s="6"/>
      <c r="H373" s="6"/>
      <c r="I373" s="6"/>
      <c r="J373" s="6"/>
    </row>
    <row r="374" spans="1:10">
      <c r="A374" s="16">
        <v>355</v>
      </c>
      <c r="B374" s="10">
        <f t="shared" si="24"/>
        <v>0</v>
      </c>
      <c r="C374" s="10">
        <f t="shared" si="25"/>
        <v>0</v>
      </c>
      <c r="D374" s="10">
        <f t="shared" si="26"/>
        <v>0</v>
      </c>
      <c r="E374" s="5">
        <f t="shared" si="27"/>
        <v>0</v>
      </c>
      <c r="F374" s="6"/>
      <c r="G374" s="6"/>
      <c r="H374" s="6"/>
      <c r="I374" s="6"/>
      <c r="J374" s="6"/>
    </row>
    <row r="375" spans="1:10">
      <c r="A375" s="16">
        <v>356</v>
      </c>
      <c r="B375" s="10">
        <f t="shared" si="24"/>
        <v>0</v>
      </c>
      <c r="C375" s="10">
        <f t="shared" si="25"/>
        <v>0</v>
      </c>
      <c r="D375" s="10">
        <f t="shared" si="26"/>
        <v>0</v>
      </c>
      <c r="E375" s="5">
        <f t="shared" si="27"/>
        <v>0</v>
      </c>
      <c r="F375" s="6"/>
      <c r="G375" s="6"/>
      <c r="H375" s="6"/>
      <c r="I375" s="6"/>
      <c r="J375" s="6"/>
    </row>
    <row r="376" spans="1:10">
      <c r="A376" s="16">
        <v>357</v>
      </c>
      <c r="B376" s="10">
        <f t="shared" si="24"/>
        <v>0</v>
      </c>
      <c r="C376" s="10">
        <f t="shared" si="25"/>
        <v>0</v>
      </c>
      <c r="D376" s="10">
        <f t="shared" si="26"/>
        <v>0</v>
      </c>
      <c r="E376" s="5">
        <f t="shared" si="27"/>
        <v>0</v>
      </c>
      <c r="F376" s="6"/>
      <c r="G376" s="6"/>
      <c r="H376" s="6"/>
      <c r="I376" s="6"/>
      <c r="J376" s="6"/>
    </row>
    <row r="377" spans="1:10">
      <c r="A377" s="16">
        <v>358</v>
      </c>
      <c r="B377" s="10">
        <f t="shared" si="24"/>
        <v>0</v>
      </c>
      <c r="C377" s="10">
        <f t="shared" si="25"/>
        <v>0</v>
      </c>
      <c r="D377" s="10">
        <f t="shared" si="26"/>
        <v>0</v>
      </c>
      <c r="E377" s="5">
        <f t="shared" si="27"/>
        <v>0</v>
      </c>
      <c r="F377" s="6"/>
      <c r="G377" s="6"/>
      <c r="H377" s="6"/>
      <c r="I377" s="6"/>
      <c r="J377" s="6"/>
    </row>
    <row r="378" spans="1:10">
      <c r="A378" s="16">
        <v>359</v>
      </c>
      <c r="B378" s="10">
        <f t="shared" si="24"/>
        <v>0</v>
      </c>
      <c r="C378" s="10">
        <f t="shared" si="25"/>
        <v>0</v>
      </c>
      <c r="D378" s="10">
        <f t="shared" si="26"/>
        <v>0</v>
      </c>
      <c r="E378" s="5">
        <f t="shared" si="27"/>
        <v>0</v>
      </c>
      <c r="F378" s="6"/>
      <c r="G378" s="6"/>
      <c r="H378" s="6"/>
      <c r="I378" s="6"/>
      <c r="J378" s="6"/>
    </row>
    <row r="379" spans="1:10">
      <c r="A379" s="16">
        <v>360</v>
      </c>
      <c r="B379" s="10">
        <f t="shared" si="24"/>
        <v>0</v>
      </c>
      <c r="C379" s="10">
        <f t="shared" si="25"/>
        <v>0</v>
      </c>
      <c r="D379" s="10">
        <f t="shared" si="26"/>
        <v>0</v>
      </c>
      <c r="E379" s="5">
        <f t="shared" si="27"/>
        <v>0</v>
      </c>
      <c r="F379" s="6"/>
      <c r="G379" s="6"/>
      <c r="H379" s="6"/>
      <c r="I379" s="6"/>
      <c r="J379" s="6"/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/>
  <dimension ref="A1:J379"/>
  <sheetViews>
    <sheetView workbookViewId="0">
      <selection activeCell="D6" sqref="D6"/>
    </sheetView>
  </sheetViews>
  <sheetFormatPr baseColWidth="10" defaultRowHeight="14.25"/>
  <cols>
    <col min="1" max="1" width="10.625" customWidth="1"/>
  </cols>
  <sheetData>
    <row r="1" spans="1:10" ht="15">
      <c r="A1" s="256" t="s">
        <v>39</v>
      </c>
      <c r="B1" s="257"/>
      <c r="C1" s="257"/>
      <c r="D1" s="257"/>
      <c r="E1" s="257"/>
      <c r="F1" s="257"/>
      <c r="G1" s="257"/>
      <c r="H1" s="257"/>
      <c r="I1" s="257"/>
      <c r="J1" s="257"/>
    </row>
    <row r="3" spans="1:10">
      <c r="A3" t="s">
        <v>74</v>
      </c>
      <c r="D3" t="str">
        <f>IF(Finanzierung!E12="","",Finanzierung!E12)</f>
        <v>Ratendarlehen</v>
      </c>
    </row>
    <row r="4" spans="1:10">
      <c r="A4" t="s">
        <v>32</v>
      </c>
      <c r="D4" s="2">
        <f>Finanzierung!E13</f>
        <v>3333</v>
      </c>
    </row>
    <row r="5" spans="1:10">
      <c r="A5" t="s">
        <v>34</v>
      </c>
      <c r="D5" s="13">
        <f>Finanzierung!E14</f>
        <v>10</v>
      </c>
      <c r="E5" t="s">
        <v>33</v>
      </c>
    </row>
    <row r="6" spans="1:10">
      <c r="A6" t="s">
        <v>75</v>
      </c>
      <c r="D6" s="1">
        <f>Finanzierung!E15/100</f>
        <v>0.02</v>
      </c>
    </row>
    <row r="7" spans="1:10">
      <c r="A7" t="s">
        <v>76</v>
      </c>
      <c r="D7" s="13">
        <f>Finanzierung!E16</f>
        <v>6</v>
      </c>
      <c r="E7" t="s">
        <v>37</v>
      </c>
    </row>
    <row r="8" spans="1:10">
      <c r="A8" t="s">
        <v>70</v>
      </c>
      <c r="D8" s="2">
        <f>Finanzierung!E17</f>
        <v>0</v>
      </c>
    </row>
    <row r="9" spans="1:10">
      <c r="A9" t="s">
        <v>81</v>
      </c>
      <c r="D9">
        <f>13-F9</f>
        <v>5</v>
      </c>
      <c r="E9" t="s">
        <v>80</v>
      </c>
      <c r="F9">
        <f>DATEDIF(EOMONTH(Eingabe!E12,-1),DATE(YEAR(Eingabe!E12),12,31),"m")</f>
        <v>8</v>
      </c>
      <c r="G9" t="s">
        <v>37</v>
      </c>
    </row>
    <row r="14" spans="1:10" ht="15" thickBot="1"/>
    <row r="15" spans="1:10" ht="15" thickTop="1">
      <c r="A15" s="7" t="s">
        <v>77</v>
      </c>
      <c r="B15" s="7"/>
      <c r="C15" s="7"/>
      <c r="D15" s="7"/>
      <c r="E15" s="7"/>
      <c r="F15" s="7"/>
      <c r="G15" s="7" t="s">
        <v>69</v>
      </c>
      <c r="H15" s="7"/>
      <c r="I15" s="7"/>
      <c r="J15" s="7"/>
    </row>
    <row r="16" spans="1:10">
      <c r="A16" s="6"/>
      <c r="B16" s="6"/>
      <c r="C16" s="6"/>
      <c r="D16" s="6"/>
      <c r="E16" s="3"/>
      <c r="F16" s="6"/>
      <c r="G16" s="6"/>
      <c r="H16" s="6"/>
      <c r="I16" s="6"/>
      <c r="J16" s="6"/>
    </row>
    <row r="17" spans="1:10">
      <c r="A17" s="14" t="s">
        <v>68</v>
      </c>
      <c r="B17" s="8" t="s">
        <v>70</v>
      </c>
      <c r="C17" s="8" t="s">
        <v>67</v>
      </c>
      <c r="D17" s="8" t="s">
        <v>71</v>
      </c>
      <c r="E17" s="9" t="s">
        <v>72</v>
      </c>
      <c r="F17" s="17" t="s">
        <v>73</v>
      </c>
      <c r="G17" s="9" t="s">
        <v>70</v>
      </c>
      <c r="H17" s="9" t="s">
        <v>67</v>
      </c>
      <c r="I17" s="9" t="s">
        <v>71</v>
      </c>
      <c r="J17" s="9" t="s">
        <v>72</v>
      </c>
    </row>
    <row r="18" spans="1:10">
      <c r="A18" s="15"/>
      <c r="B18" s="6"/>
      <c r="C18" s="6"/>
      <c r="D18" s="6"/>
      <c r="E18" s="3"/>
      <c r="F18" s="18"/>
      <c r="G18" s="6"/>
      <c r="H18" s="6"/>
      <c r="I18" s="6"/>
      <c r="J18" s="6"/>
    </row>
    <row r="19" spans="1:10">
      <c r="A19" s="16">
        <v>0</v>
      </c>
      <c r="B19" s="10">
        <f>D4</f>
        <v>3333</v>
      </c>
      <c r="C19" s="11"/>
      <c r="D19" s="11"/>
      <c r="E19" s="4"/>
      <c r="F19" s="19">
        <v>0</v>
      </c>
      <c r="G19" s="10">
        <f>D4</f>
        <v>3333</v>
      </c>
      <c r="H19" s="11"/>
      <c r="I19" s="11"/>
      <c r="J19" s="11"/>
    </row>
    <row r="20" spans="1:10">
      <c r="A20" s="16">
        <v>1</v>
      </c>
      <c r="B20" s="10">
        <f t="shared" ref="B20:B83" si="0">IF(A20&lt;=$D$5*12,B19-D20,0)</f>
        <v>3333</v>
      </c>
      <c r="C20" s="10">
        <f t="shared" ref="C20:C83" si="1">IF(A20&lt;=$D$5*12,B19*$D$6/12,0)</f>
        <v>5.5549999999999997</v>
      </c>
      <c r="D20" s="10">
        <f>IF($D$3="Annuitätendarlehen",IF(A20&lt;=$D$5*12,E20-C20,0),IF($D$3="Ratendarlehen",IF(AND(A20&lt;=$D$5*12,A20&gt;$D$7),$D$4/($D$5*12-$D$7),0),IF($D$3="Restwertdarlehen",IF(A20=$D$5*12,$D$4,0),0)))</f>
        <v>0</v>
      </c>
      <c r="E20" s="5">
        <f>IF($D$3="Annuitätendarlehen",IF(AND(A20&lt;=$D$5*12,A20&gt;$D$7),PMT($D$6/12,$D$5*12-$D$7,-$D$4,$D$8,0),IF(A20&lt;=$D$7,C20,0)),IF($D$3="Ratendarlehen",IF(AND(A20&lt;=$D$5*12,A20&gt;$D$7),$D$4/($D$5*12-$D$7)+C20,IF(A20&lt;=$D$7,C20,0)),IF(AND($D$3="Restwertdarlehen",A20&lt;=$D$5*12),C20+D20,0)))</f>
        <v>5.5549999999999997</v>
      </c>
      <c r="F20" s="19">
        <v>1</v>
      </c>
      <c r="G20" s="10">
        <f ca="1">IF(A20&lt;=INT(F20-0.00001+($D$5-1)/12)+1,G19-I20,0)</f>
        <v>3274.5263157894738</v>
      </c>
      <c r="H20" s="10">
        <f ca="1">SUM(INDIRECT("z"&amp;ROW($E$20)-$D$9+1+F19*12&amp;"s"&amp;COLUMN($C$10)&amp;":z"&amp;ROW($E$20)-$D$9+1+F19*12+12-1&amp;"s"&amp;COLUMN($C$10),0))</f>
        <v>44.391271929824562</v>
      </c>
      <c r="I20" s="10">
        <f t="shared" ref="I20:I49" ca="1" si="2">+J20-H20</f>
        <v>58.473684210526308</v>
      </c>
      <c r="J20" s="10">
        <f ca="1">SUM(INDIRECT("z"&amp;ROW($E$20)-$D$9+1+F19*12&amp;"s"&amp;COLUMN($E$10)&amp;":z"&amp;ROW($E$20)-$D$9+1+F19*12+12-1&amp;"s"&amp;COLUMN($E$10),0))</f>
        <v>102.86495614035087</v>
      </c>
    </row>
    <row r="21" spans="1:10">
      <c r="A21" s="16">
        <v>2</v>
      </c>
      <c r="B21" s="10">
        <f t="shared" si="0"/>
        <v>3333</v>
      </c>
      <c r="C21" s="10">
        <f t="shared" si="1"/>
        <v>5.5549999999999997</v>
      </c>
      <c r="D21" s="10">
        <f t="shared" ref="D21:D84" si="3">IF($D$3="Annuitätendarlehen",IF(A21&lt;=$D$5*12,E21-C21,0),IF($D$3="Ratendarlehen",IF(AND(A21&lt;=$D$5*12,A21&gt;$D$7),$D$4/($D$5*12-$D$7),0),IF($D$3="Restwertdarlehen",IF(A21=$D$5*12,$D$4,0),0)))</f>
        <v>0</v>
      </c>
      <c r="E21" s="5">
        <f t="shared" ref="E21:E84" si="4">IF($D$3="Annuitätendarlehen",IF(AND(A21&lt;=$D$5*12,A21&gt;$D$7),PMT($D$6/12,$D$5*12-$D$7,-$D$4,$D$8,0),IF(A21&lt;=$D$7,C21,0)),IF($D$3="Ratendarlehen",IF(AND(A21&lt;=$D$5*12,A21&gt;$D$7),$D$4/($D$5*12-$D$7)+C21,IF(A21&lt;=$D$7,C21,0)),IF(AND($D$3="Restwertdarlehen",A21&lt;=$D$5*12),C21+D21,0)))</f>
        <v>5.5549999999999997</v>
      </c>
      <c r="F21" s="19">
        <v>2</v>
      </c>
      <c r="G21" s="10">
        <f t="shared" ref="G21:G49" ca="1" si="5">IF(A21&lt;=INT(F21-0.00001+($D$5-1)/12)+1,G20-I21,0)</f>
        <v>2923.6842105263158</v>
      </c>
      <c r="H21" s="10">
        <f t="shared" ref="H21:H49" ca="1" si="6">SUM(INDIRECT("z"&amp;ROW($E$20)-$D$9+1+F20*12&amp;"s"&amp;COLUMN($C$10)&amp;":z"&amp;ROW($E$20)-$D$9+1+F20*12+12-1&amp;"s"&amp;COLUMN($C$10),0))</f>
        <v>62.274473684210506</v>
      </c>
      <c r="I21" s="10">
        <f t="shared" ca="1" si="2"/>
        <v>350.84210526315792</v>
      </c>
      <c r="J21" s="10">
        <f t="shared" ref="J21:J49" ca="1" si="7">SUM(INDIRECT("z"&amp;ROW($E$20)-$D$9+1+F20*12&amp;"s"&amp;COLUMN($E$10)&amp;":z"&amp;ROW($E$20)-$D$9+1+F20*12+12-1&amp;"s"&amp;COLUMN($E$10),0))</f>
        <v>413.1165789473684</v>
      </c>
    </row>
    <row r="22" spans="1:10">
      <c r="A22" s="16">
        <v>3</v>
      </c>
      <c r="B22" s="10">
        <f t="shared" si="0"/>
        <v>3333</v>
      </c>
      <c r="C22" s="10">
        <f t="shared" si="1"/>
        <v>5.5549999999999997</v>
      </c>
      <c r="D22" s="10">
        <f t="shared" si="3"/>
        <v>0</v>
      </c>
      <c r="E22" s="5">
        <f t="shared" si="4"/>
        <v>5.5549999999999997</v>
      </c>
      <c r="F22" s="19">
        <v>3</v>
      </c>
      <c r="G22" s="10">
        <f t="shared" ca="1" si="5"/>
        <v>2572.8421052631579</v>
      </c>
      <c r="H22" s="10">
        <f t="shared" ca="1" si="6"/>
        <v>55.25763157894729</v>
      </c>
      <c r="I22" s="10">
        <f t="shared" ca="1" si="2"/>
        <v>350.84210526315798</v>
      </c>
      <c r="J22" s="10">
        <f t="shared" ca="1" si="7"/>
        <v>406.09973684210524</v>
      </c>
    </row>
    <row r="23" spans="1:10">
      <c r="A23" s="16">
        <v>4</v>
      </c>
      <c r="B23" s="10">
        <f t="shared" si="0"/>
        <v>3333</v>
      </c>
      <c r="C23" s="10">
        <f t="shared" si="1"/>
        <v>5.5549999999999997</v>
      </c>
      <c r="D23" s="10">
        <f t="shared" si="3"/>
        <v>0</v>
      </c>
      <c r="E23" s="5">
        <f t="shared" si="4"/>
        <v>5.5549999999999997</v>
      </c>
      <c r="F23" s="19">
        <v>4</v>
      </c>
      <c r="G23" s="10">
        <f t="shared" ca="1" si="5"/>
        <v>2222</v>
      </c>
      <c r="H23" s="10">
        <f t="shared" ca="1" si="6"/>
        <v>48.240789473684096</v>
      </c>
      <c r="I23" s="10">
        <f t="shared" ca="1" si="2"/>
        <v>350.8421052631578</v>
      </c>
      <c r="J23" s="10">
        <f t="shared" ca="1" si="7"/>
        <v>399.08289473684192</v>
      </c>
    </row>
    <row r="24" spans="1:10">
      <c r="A24" s="16">
        <v>5</v>
      </c>
      <c r="B24" s="10">
        <f t="shared" si="0"/>
        <v>3333</v>
      </c>
      <c r="C24" s="10">
        <f t="shared" si="1"/>
        <v>5.5549999999999997</v>
      </c>
      <c r="D24" s="10">
        <f t="shared" si="3"/>
        <v>0</v>
      </c>
      <c r="E24" s="5">
        <f t="shared" si="4"/>
        <v>5.5549999999999997</v>
      </c>
      <c r="F24" s="19">
        <v>5</v>
      </c>
      <c r="G24" s="10">
        <f t="shared" ca="1" si="5"/>
        <v>1871.1578947368421</v>
      </c>
      <c r="H24" s="10">
        <f t="shared" ca="1" si="6"/>
        <v>41.223947368420895</v>
      </c>
      <c r="I24" s="10">
        <f t="shared" ca="1" si="2"/>
        <v>350.84210526315786</v>
      </c>
      <c r="J24" s="10">
        <f t="shared" ca="1" si="7"/>
        <v>392.06605263157877</v>
      </c>
    </row>
    <row r="25" spans="1:10">
      <c r="A25" s="16">
        <v>6</v>
      </c>
      <c r="B25" s="10">
        <f t="shared" si="0"/>
        <v>3333</v>
      </c>
      <c r="C25" s="10">
        <f t="shared" si="1"/>
        <v>5.5549999999999997</v>
      </c>
      <c r="D25" s="10">
        <f t="shared" si="3"/>
        <v>0</v>
      </c>
      <c r="E25" s="5">
        <f t="shared" si="4"/>
        <v>5.5549999999999997</v>
      </c>
      <c r="F25" s="19">
        <v>6</v>
      </c>
      <c r="G25" s="10">
        <f t="shared" ca="1" si="5"/>
        <v>1520.3157894736842</v>
      </c>
      <c r="H25" s="10">
        <f t="shared" ca="1" si="6"/>
        <v>34.207105263157743</v>
      </c>
      <c r="I25" s="10">
        <f t="shared" ca="1" si="2"/>
        <v>350.84210526315786</v>
      </c>
      <c r="J25" s="10">
        <f t="shared" ca="1" si="7"/>
        <v>385.04921052631562</v>
      </c>
    </row>
    <row r="26" spans="1:10">
      <c r="A26" s="16">
        <v>7</v>
      </c>
      <c r="B26" s="10">
        <f t="shared" si="0"/>
        <v>3303.7631578947367</v>
      </c>
      <c r="C26" s="10">
        <f t="shared" si="1"/>
        <v>5.5549999999999997</v>
      </c>
      <c r="D26" s="10">
        <f t="shared" si="3"/>
        <v>29.236842105263158</v>
      </c>
      <c r="E26" s="5">
        <f t="shared" si="4"/>
        <v>34.791842105263157</v>
      </c>
      <c r="F26" s="19">
        <v>7</v>
      </c>
      <c r="G26" s="10">
        <f t="shared" ca="1" si="5"/>
        <v>1169.4736842105262</v>
      </c>
      <c r="H26" s="10">
        <f t="shared" ca="1" si="6"/>
        <v>27.190263157894591</v>
      </c>
      <c r="I26" s="10">
        <f t="shared" ca="1" si="2"/>
        <v>350.84210526315786</v>
      </c>
      <c r="J26" s="10">
        <f t="shared" ca="1" si="7"/>
        <v>378.03236842105247</v>
      </c>
    </row>
    <row r="27" spans="1:10">
      <c r="A27" s="16">
        <v>8</v>
      </c>
      <c r="B27" s="10">
        <f t="shared" si="0"/>
        <v>3274.5263157894733</v>
      </c>
      <c r="C27" s="10">
        <f t="shared" si="1"/>
        <v>5.5062719298245613</v>
      </c>
      <c r="D27" s="10">
        <f t="shared" si="3"/>
        <v>29.236842105263158</v>
      </c>
      <c r="E27" s="5">
        <f t="shared" si="4"/>
        <v>34.743114035087721</v>
      </c>
      <c r="F27" s="19">
        <v>8</v>
      </c>
      <c r="G27" s="10">
        <f t="shared" ca="1" si="5"/>
        <v>818.63157894736833</v>
      </c>
      <c r="H27" s="10">
        <f t="shared" ca="1" si="6"/>
        <v>20.173421052631443</v>
      </c>
      <c r="I27" s="10">
        <f t="shared" ca="1" si="2"/>
        <v>350.84210526315786</v>
      </c>
      <c r="J27" s="10">
        <f t="shared" ca="1" si="7"/>
        <v>371.01552631578932</v>
      </c>
    </row>
    <row r="28" spans="1:10">
      <c r="A28" s="16">
        <v>9</v>
      </c>
      <c r="B28" s="10">
        <f t="shared" si="0"/>
        <v>3245.28947368421</v>
      </c>
      <c r="C28" s="10">
        <f t="shared" si="1"/>
        <v>5.4575438596491219</v>
      </c>
      <c r="D28" s="10">
        <f t="shared" si="3"/>
        <v>29.236842105263158</v>
      </c>
      <c r="E28" s="5">
        <f t="shared" si="4"/>
        <v>34.694385964912279</v>
      </c>
      <c r="F28" s="19">
        <v>9</v>
      </c>
      <c r="G28" s="10">
        <f t="shared" ca="1" si="5"/>
        <v>467.78947368421046</v>
      </c>
      <c r="H28" s="10">
        <f t="shared" ca="1" si="6"/>
        <v>13.156578947368294</v>
      </c>
      <c r="I28" s="10">
        <f t="shared" ca="1" si="2"/>
        <v>350.84210526315786</v>
      </c>
      <c r="J28" s="10">
        <f t="shared" ca="1" si="7"/>
        <v>363.99868421052616</v>
      </c>
    </row>
    <row r="29" spans="1:10">
      <c r="A29" s="16">
        <v>10</v>
      </c>
      <c r="B29" s="10">
        <f t="shared" si="0"/>
        <v>3216.0526315789466</v>
      </c>
      <c r="C29" s="10">
        <f t="shared" si="1"/>
        <v>5.4088157894736826</v>
      </c>
      <c r="D29" s="10">
        <f t="shared" si="3"/>
        <v>29.236842105263158</v>
      </c>
      <c r="E29" s="5">
        <f t="shared" si="4"/>
        <v>34.645657894736843</v>
      </c>
      <c r="F29" s="19">
        <v>10</v>
      </c>
      <c r="G29" s="10">
        <f t="shared" ca="1" si="5"/>
        <v>116.94736842105266</v>
      </c>
      <c r="H29" s="10">
        <f t="shared" ca="1" si="6"/>
        <v>6.1397368421051342</v>
      </c>
      <c r="I29" s="10">
        <f t="shared" ca="1" si="2"/>
        <v>350.8421052631578</v>
      </c>
      <c r="J29" s="10">
        <f t="shared" ca="1" si="7"/>
        <v>356.98184210526296</v>
      </c>
    </row>
    <row r="30" spans="1:10">
      <c r="A30" s="16">
        <v>11</v>
      </c>
      <c r="B30" s="10">
        <f t="shared" si="0"/>
        <v>3186.8157894736833</v>
      </c>
      <c r="C30" s="10">
        <f t="shared" si="1"/>
        <v>5.360087719298245</v>
      </c>
      <c r="D30" s="10">
        <f t="shared" si="3"/>
        <v>29.236842105263158</v>
      </c>
      <c r="E30" s="5">
        <f t="shared" si="4"/>
        <v>34.5969298245614</v>
      </c>
      <c r="F30" s="19">
        <v>11</v>
      </c>
      <c r="G30" s="10">
        <f t="shared" ca="1" si="5"/>
        <v>2.8421709430404007E-14</v>
      </c>
      <c r="H30" s="10">
        <f t="shared" ca="1" si="6"/>
        <v>0.48728070175434285</v>
      </c>
      <c r="I30" s="10">
        <f t="shared" ca="1" si="2"/>
        <v>116.94736842105263</v>
      </c>
      <c r="J30" s="10">
        <f t="shared" ca="1" si="7"/>
        <v>117.43464912280697</v>
      </c>
    </row>
    <row r="31" spans="1:10">
      <c r="A31" s="16">
        <v>12</v>
      </c>
      <c r="B31" s="10">
        <f t="shared" si="0"/>
        <v>3157.5789473684199</v>
      </c>
      <c r="C31" s="10">
        <f t="shared" si="1"/>
        <v>5.3113596491228057</v>
      </c>
      <c r="D31" s="10">
        <f t="shared" si="3"/>
        <v>29.236842105263158</v>
      </c>
      <c r="E31" s="5">
        <f t="shared" si="4"/>
        <v>34.548201754385964</v>
      </c>
      <c r="F31" s="19">
        <v>12</v>
      </c>
      <c r="G31" s="10">
        <f t="shared" ca="1" si="5"/>
        <v>2.8421709430404007E-14</v>
      </c>
      <c r="H31" s="10">
        <f t="shared" ca="1" si="6"/>
        <v>0</v>
      </c>
      <c r="I31" s="10">
        <f t="shared" ca="1" si="2"/>
        <v>0</v>
      </c>
      <c r="J31" s="10">
        <f t="shared" ca="1" si="7"/>
        <v>0</v>
      </c>
    </row>
    <row r="32" spans="1:10">
      <c r="A32" s="16">
        <v>13</v>
      </c>
      <c r="B32" s="10">
        <f t="shared" si="0"/>
        <v>3128.3421052631566</v>
      </c>
      <c r="C32" s="10">
        <f t="shared" si="1"/>
        <v>5.2626315789473663</v>
      </c>
      <c r="D32" s="10">
        <f t="shared" si="3"/>
        <v>29.236842105263158</v>
      </c>
      <c r="E32" s="5">
        <f t="shared" si="4"/>
        <v>34.499473684210521</v>
      </c>
      <c r="F32" s="19">
        <v>13</v>
      </c>
      <c r="G32" s="10">
        <f t="shared" ca="1" si="5"/>
        <v>2.8421709430404007E-14</v>
      </c>
      <c r="H32" s="10">
        <f t="shared" ca="1" si="6"/>
        <v>0</v>
      </c>
      <c r="I32" s="10">
        <f t="shared" ca="1" si="2"/>
        <v>0</v>
      </c>
      <c r="J32" s="10">
        <f t="shared" ca="1" si="7"/>
        <v>0</v>
      </c>
    </row>
    <row r="33" spans="1:10">
      <c r="A33" s="16">
        <v>14</v>
      </c>
      <c r="B33" s="10">
        <f t="shared" si="0"/>
        <v>3099.1052631578932</v>
      </c>
      <c r="C33" s="10">
        <f t="shared" si="1"/>
        <v>5.2139035087719279</v>
      </c>
      <c r="D33" s="10">
        <f t="shared" si="3"/>
        <v>29.236842105263158</v>
      </c>
      <c r="E33" s="5">
        <f t="shared" si="4"/>
        <v>34.450745614035085</v>
      </c>
      <c r="F33" s="19">
        <v>14</v>
      </c>
      <c r="G33" s="10">
        <f t="shared" ca="1" si="5"/>
        <v>2.8421709430404007E-14</v>
      </c>
      <c r="H33" s="10">
        <f t="shared" ca="1" si="6"/>
        <v>0</v>
      </c>
      <c r="I33" s="10">
        <f t="shared" ca="1" si="2"/>
        <v>0</v>
      </c>
      <c r="J33" s="10">
        <f t="shared" ca="1" si="7"/>
        <v>0</v>
      </c>
    </row>
    <row r="34" spans="1:10">
      <c r="A34" s="16">
        <v>15</v>
      </c>
      <c r="B34" s="10">
        <f t="shared" si="0"/>
        <v>3069.8684210526299</v>
      </c>
      <c r="C34" s="10">
        <f t="shared" si="1"/>
        <v>5.1651754385964885</v>
      </c>
      <c r="D34" s="10">
        <f t="shared" si="3"/>
        <v>29.236842105263158</v>
      </c>
      <c r="E34" s="5">
        <f t="shared" si="4"/>
        <v>34.402017543859643</v>
      </c>
      <c r="F34" s="19">
        <v>15</v>
      </c>
      <c r="G34" s="10">
        <f t="shared" ca="1" si="5"/>
        <v>2.8421709430404007E-14</v>
      </c>
      <c r="H34" s="10">
        <f t="shared" ca="1" si="6"/>
        <v>0</v>
      </c>
      <c r="I34" s="10">
        <f t="shared" ca="1" si="2"/>
        <v>0</v>
      </c>
      <c r="J34" s="10">
        <f t="shared" ca="1" si="7"/>
        <v>0</v>
      </c>
    </row>
    <row r="35" spans="1:10">
      <c r="A35" s="16">
        <v>16</v>
      </c>
      <c r="B35" s="10">
        <f t="shared" si="0"/>
        <v>3040.6315789473665</v>
      </c>
      <c r="C35" s="10">
        <f t="shared" si="1"/>
        <v>5.1164473684210501</v>
      </c>
      <c r="D35" s="10">
        <f t="shared" si="3"/>
        <v>29.236842105263158</v>
      </c>
      <c r="E35" s="5">
        <f t="shared" si="4"/>
        <v>34.353289473684207</v>
      </c>
      <c r="F35" s="19">
        <v>16</v>
      </c>
      <c r="G35" s="10">
        <f t="shared" ca="1" si="5"/>
        <v>2.8421709430404007E-14</v>
      </c>
      <c r="H35" s="10">
        <f t="shared" ca="1" si="6"/>
        <v>0</v>
      </c>
      <c r="I35" s="10">
        <f t="shared" ca="1" si="2"/>
        <v>0</v>
      </c>
      <c r="J35" s="10">
        <f t="shared" ca="1" si="7"/>
        <v>0</v>
      </c>
    </row>
    <row r="36" spans="1:10">
      <c r="A36" s="16">
        <v>17</v>
      </c>
      <c r="B36" s="10">
        <f t="shared" si="0"/>
        <v>3011.3947368421032</v>
      </c>
      <c r="C36" s="10">
        <f t="shared" si="1"/>
        <v>5.0677192982456107</v>
      </c>
      <c r="D36" s="10">
        <f t="shared" si="3"/>
        <v>29.236842105263158</v>
      </c>
      <c r="E36" s="5">
        <f t="shared" si="4"/>
        <v>34.304561403508771</v>
      </c>
      <c r="F36" s="19">
        <v>17</v>
      </c>
      <c r="G36" s="10">
        <f t="shared" ca="1" si="5"/>
        <v>2.8421709430404007E-14</v>
      </c>
      <c r="H36" s="10">
        <f t="shared" ca="1" si="6"/>
        <v>0</v>
      </c>
      <c r="I36" s="10">
        <f t="shared" ca="1" si="2"/>
        <v>0</v>
      </c>
      <c r="J36" s="10">
        <f t="shared" ca="1" si="7"/>
        <v>0</v>
      </c>
    </row>
    <row r="37" spans="1:10">
      <c r="A37" s="16">
        <v>18</v>
      </c>
      <c r="B37" s="10">
        <f t="shared" si="0"/>
        <v>2982.1578947368398</v>
      </c>
      <c r="C37" s="10">
        <f t="shared" si="1"/>
        <v>5.0189912280701723</v>
      </c>
      <c r="D37" s="10">
        <f t="shared" si="3"/>
        <v>29.236842105263158</v>
      </c>
      <c r="E37" s="5">
        <f t="shared" si="4"/>
        <v>34.255833333333328</v>
      </c>
      <c r="F37" s="19">
        <v>18</v>
      </c>
      <c r="G37" s="10">
        <f t="shared" ca="1" si="5"/>
        <v>2.8421709430404007E-14</v>
      </c>
      <c r="H37" s="10">
        <f t="shared" ca="1" si="6"/>
        <v>0</v>
      </c>
      <c r="I37" s="10">
        <f t="shared" ca="1" si="2"/>
        <v>0</v>
      </c>
      <c r="J37" s="10">
        <f t="shared" ca="1" si="7"/>
        <v>0</v>
      </c>
    </row>
    <row r="38" spans="1:10">
      <c r="A38" s="16">
        <v>19</v>
      </c>
      <c r="B38" s="10">
        <f t="shared" si="0"/>
        <v>2952.9210526315765</v>
      </c>
      <c r="C38" s="10">
        <f t="shared" si="1"/>
        <v>4.9702631578947329</v>
      </c>
      <c r="D38" s="10">
        <f t="shared" si="3"/>
        <v>29.236842105263158</v>
      </c>
      <c r="E38" s="5">
        <f t="shared" si="4"/>
        <v>34.207105263157892</v>
      </c>
      <c r="F38" s="19">
        <v>19</v>
      </c>
      <c r="G38" s="10">
        <f t="shared" ca="1" si="5"/>
        <v>2.8421709430404007E-14</v>
      </c>
      <c r="H38" s="10">
        <f t="shared" ca="1" si="6"/>
        <v>0</v>
      </c>
      <c r="I38" s="10">
        <f t="shared" ca="1" si="2"/>
        <v>0</v>
      </c>
      <c r="J38" s="10">
        <f t="shared" ca="1" si="7"/>
        <v>0</v>
      </c>
    </row>
    <row r="39" spans="1:10">
      <c r="A39" s="16">
        <v>20</v>
      </c>
      <c r="B39" s="10">
        <f t="shared" si="0"/>
        <v>2923.6842105263131</v>
      </c>
      <c r="C39" s="10">
        <f t="shared" si="1"/>
        <v>4.9215350877192945</v>
      </c>
      <c r="D39" s="10">
        <f t="shared" si="3"/>
        <v>29.236842105263158</v>
      </c>
      <c r="E39" s="5">
        <f t="shared" si="4"/>
        <v>34.158377192982449</v>
      </c>
      <c r="F39" s="19">
        <v>20</v>
      </c>
      <c r="G39" s="10">
        <f t="shared" ca="1" si="5"/>
        <v>2.8421709430404007E-14</v>
      </c>
      <c r="H39" s="10">
        <f t="shared" ca="1" si="6"/>
        <v>0</v>
      </c>
      <c r="I39" s="10">
        <f t="shared" ca="1" si="2"/>
        <v>0</v>
      </c>
      <c r="J39" s="10">
        <f t="shared" ca="1" si="7"/>
        <v>0</v>
      </c>
    </row>
    <row r="40" spans="1:10">
      <c r="A40" s="16">
        <v>21</v>
      </c>
      <c r="B40" s="10">
        <f t="shared" si="0"/>
        <v>2894.4473684210498</v>
      </c>
      <c r="C40" s="10">
        <f t="shared" si="1"/>
        <v>4.8728070175438551</v>
      </c>
      <c r="D40" s="10">
        <f t="shared" si="3"/>
        <v>29.236842105263158</v>
      </c>
      <c r="E40" s="5">
        <f t="shared" si="4"/>
        <v>34.109649122807014</v>
      </c>
      <c r="F40" s="19">
        <v>21</v>
      </c>
      <c r="G40" s="10">
        <f t="shared" ca="1" si="5"/>
        <v>2.8421709430404007E-14</v>
      </c>
      <c r="H40" s="10">
        <f t="shared" ca="1" si="6"/>
        <v>0</v>
      </c>
      <c r="I40" s="10">
        <f t="shared" ca="1" si="2"/>
        <v>0</v>
      </c>
      <c r="J40" s="10">
        <f t="shared" ca="1" si="7"/>
        <v>0</v>
      </c>
    </row>
    <row r="41" spans="1:10">
      <c r="A41" s="16">
        <v>22</v>
      </c>
      <c r="B41" s="10">
        <f t="shared" si="0"/>
        <v>2865.2105263157864</v>
      </c>
      <c r="C41" s="10">
        <f t="shared" si="1"/>
        <v>4.8240789473684158</v>
      </c>
      <c r="D41" s="10">
        <f t="shared" si="3"/>
        <v>29.236842105263158</v>
      </c>
      <c r="E41" s="5">
        <f t="shared" si="4"/>
        <v>34.060921052631571</v>
      </c>
      <c r="F41" s="19">
        <v>22</v>
      </c>
      <c r="G41" s="10">
        <f t="shared" ca="1" si="5"/>
        <v>2.8421709430404007E-14</v>
      </c>
      <c r="H41" s="10">
        <f t="shared" ca="1" si="6"/>
        <v>0</v>
      </c>
      <c r="I41" s="10">
        <f t="shared" ca="1" si="2"/>
        <v>0</v>
      </c>
      <c r="J41" s="10">
        <f t="shared" ca="1" si="7"/>
        <v>0</v>
      </c>
    </row>
    <row r="42" spans="1:10">
      <c r="A42" s="16">
        <v>23</v>
      </c>
      <c r="B42" s="10">
        <f t="shared" si="0"/>
        <v>2835.9736842105231</v>
      </c>
      <c r="C42" s="10">
        <f t="shared" si="1"/>
        <v>4.7753508771929774</v>
      </c>
      <c r="D42" s="10">
        <f t="shared" si="3"/>
        <v>29.236842105263158</v>
      </c>
      <c r="E42" s="5">
        <f t="shared" si="4"/>
        <v>34.012192982456135</v>
      </c>
      <c r="F42" s="19">
        <v>23</v>
      </c>
      <c r="G42" s="10">
        <f t="shared" ca="1" si="5"/>
        <v>2.8421709430404007E-14</v>
      </c>
      <c r="H42" s="10">
        <f t="shared" ca="1" si="6"/>
        <v>0</v>
      </c>
      <c r="I42" s="10">
        <f t="shared" ca="1" si="2"/>
        <v>0</v>
      </c>
      <c r="J42" s="10">
        <f t="shared" ca="1" si="7"/>
        <v>0</v>
      </c>
    </row>
    <row r="43" spans="1:10">
      <c r="A43" s="16">
        <v>24</v>
      </c>
      <c r="B43" s="10">
        <f t="shared" si="0"/>
        <v>2806.7368421052597</v>
      </c>
      <c r="C43" s="10">
        <f t="shared" si="1"/>
        <v>4.7266228070175389</v>
      </c>
      <c r="D43" s="10">
        <f t="shared" si="3"/>
        <v>29.236842105263158</v>
      </c>
      <c r="E43" s="5">
        <f t="shared" si="4"/>
        <v>33.963464912280699</v>
      </c>
      <c r="F43" s="19">
        <v>24</v>
      </c>
      <c r="G43" s="10">
        <f t="shared" ca="1" si="5"/>
        <v>2.8421709430404007E-14</v>
      </c>
      <c r="H43" s="10">
        <f t="shared" ca="1" si="6"/>
        <v>0</v>
      </c>
      <c r="I43" s="10">
        <f t="shared" ca="1" si="2"/>
        <v>0</v>
      </c>
      <c r="J43" s="10">
        <f t="shared" ca="1" si="7"/>
        <v>0</v>
      </c>
    </row>
    <row r="44" spans="1:10">
      <c r="A44" s="16">
        <v>25</v>
      </c>
      <c r="B44" s="10">
        <f t="shared" si="0"/>
        <v>2777.4999999999964</v>
      </c>
      <c r="C44" s="10">
        <f t="shared" si="1"/>
        <v>4.6778947368420996</v>
      </c>
      <c r="D44" s="10">
        <f t="shared" si="3"/>
        <v>29.236842105263158</v>
      </c>
      <c r="E44" s="5">
        <f t="shared" si="4"/>
        <v>33.914736842105256</v>
      </c>
      <c r="F44" s="19">
        <v>25</v>
      </c>
      <c r="G44" s="10">
        <f t="shared" ca="1" si="5"/>
        <v>2.8421709430404007E-14</v>
      </c>
      <c r="H44" s="10">
        <f t="shared" ca="1" si="6"/>
        <v>0</v>
      </c>
      <c r="I44" s="10">
        <f t="shared" ca="1" si="2"/>
        <v>0</v>
      </c>
      <c r="J44" s="10">
        <f t="shared" ca="1" si="7"/>
        <v>0</v>
      </c>
    </row>
    <row r="45" spans="1:10">
      <c r="A45" s="16">
        <v>26</v>
      </c>
      <c r="B45" s="10">
        <f t="shared" si="0"/>
        <v>2748.263157894733</v>
      </c>
      <c r="C45" s="10">
        <f t="shared" si="1"/>
        <v>4.6291666666666602</v>
      </c>
      <c r="D45" s="10">
        <f t="shared" si="3"/>
        <v>29.236842105263158</v>
      </c>
      <c r="E45" s="5">
        <f t="shared" si="4"/>
        <v>33.86600877192982</v>
      </c>
      <c r="F45" s="19">
        <v>26</v>
      </c>
      <c r="G45" s="10">
        <f t="shared" ca="1" si="5"/>
        <v>2.8421709430404007E-14</v>
      </c>
      <c r="H45" s="10">
        <f t="shared" ca="1" si="6"/>
        <v>0</v>
      </c>
      <c r="I45" s="10">
        <f t="shared" ca="1" si="2"/>
        <v>0</v>
      </c>
      <c r="J45" s="10">
        <f t="shared" ca="1" si="7"/>
        <v>0</v>
      </c>
    </row>
    <row r="46" spans="1:10">
      <c r="A46" s="16">
        <v>27</v>
      </c>
      <c r="B46" s="10">
        <f t="shared" si="0"/>
        <v>2719.0263157894697</v>
      </c>
      <c r="C46" s="10">
        <f t="shared" si="1"/>
        <v>4.5804385964912218</v>
      </c>
      <c r="D46" s="10">
        <f t="shared" si="3"/>
        <v>29.236842105263158</v>
      </c>
      <c r="E46" s="5">
        <f t="shared" si="4"/>
        <v>33.817280701754378</v>
      </c>
      <c r="F46" s="19">
        <v>27</v>
      </c>
      <c r="G46" s="10">
        <f t="shared" ca="1" si="5"/>
        <v>2.8421709430404007E-14</v>
      </c>
      <c r="H46" s="10">
        <f t="shared" ca="1" si="6"/>
        <v>0</v>
      </c>
      <c r="I46" s="10">
        <f t="shared" ca="1" si="2"/>
        <v>0</v>
      </c>
      <c r="J46" s="10">
        <f t="shared" ca="1" si="7"/>
        <v>0</v>
      </c>
    </row>
    <row r="47" spans="1:10">
      <c r="A47" s="16">
        <v>28</v>
      </c>
      <c r="B47" s="10">
        <f t="shared" si="0"/>
        <v>2689.7894736842063</v>
      </c>
      <c r="C47" s="10">
        <f t="shared" si="1"/>
        <v>4.5317105263157833</v>
      </c>
      <c r="D47" s="10">
        <f t="shared" si="3"/>
        <v>29.236842105263158</v>
      </c>
      <c r="E47" s="5">
        <f t="shared" si="4"/>
        <v>33.768552631578942</v>
      </c>
      <c r="F47" s="19">
        <v>28</v>
      </c>
      <c r="G47" s="10">
        <f t="shared" ca="1" si="5"/>
        <v>2.8421709430404007E-14</v>
      </c>
      <c r="H47" s="10">
        <f t="shared" ca="1" si="6"/>
        <v>0</v>
      </c>
      <c r="I47" s="10">
        <f t="shared" ca="1" si="2"/>
        <v>0</v>
      </c>
      <c r="J47" s="10">
        <f t="shared" ca="1" si="7"/>
        <v>0</v>
      </c>
    </row>
    <row r="48" spans="1:10">
      <c r="A48" s="16">
        <v>29</v>
      </c>
      <c r="B48" s="10">
        <f t="shared" si="0"/>
        <v>2660.552631578943</v>
      </c>
      <c r="C48" s="10">
        <f t="shared" si="1"/>
        <v>4.482982456140344</v>
      </c>
      <c r="D48" s="10">
        <f t="shared" si="3"/>
        <v>29.236842105263158</v>
      </c>
      <c r="E48" s="5">
        <f t="shared" si="4"/>
        <v>33.719824561403499</v>
      </c>
      <c r="F48" s="19">
        <v>29</v>
      </c>
      <c r="G48" s="10">
        <f t="shared" ca="1" si="5"/>
        <v>2.8421709430404007E-14</v>
      </c>
      <c r="H48" s="10">
        <f t="shared" ca="1" si="6"/>
        <v>0</v>
      </c>
      <c r="I48" s="10">
        <f t="shared" ca="1" si="2"/>
        <v>0</v>
      </c>
      <c r="J48" s="10">
        <f t="shared" ca="1" si="7"/>
        <v>0</v>
      </c>
    </row>
    <row r="49" spans="1:10">
      <c r="A49" s="16">
        <v>30</v>
      </c>
      <c r="B49" s="10">
        <f t="shared" si="0"/>
        <v>2631.3157894736796</v>
      </c>
      <c r="C49" s="10">
        <f t="shared" si="1"/>
        <v>4.4342543859649046</v>
      </c>
      <c r="D49" s="10">
        <f t="shared" si="3"/>
        <v>29.236842105263158</v>
      </c>
      <c r="E49" s="5">
        <f t="shared" si="4"/>
        <v>33.671096491228063</v>
      </c>
      <c r="F49" s="19">
        <v>30</v>
      </c>
      <c r="G49" s="10">
        <f t="shared" ca="1" si="5"/>
        <v>2.8421709430404007E-14</v>
      </c>
      <c r="H49" s="10">
        <f t="shared" ca="1" si="6"/>
        <v>0</v>
      </c>
      <c r="I49" s="10">
        <f t="shared" ca="1" si="2"/>
        <v>0</v>
      </c>
      <c r="J49" s="10">
        <f t="shared" ca="1" si="7"/>
        <v>0</v>
      </c>
    </row>
    <row r="50" spans="1:10">
      <c r="A50" s="16">
        <v>31</v>
      </c>
      <c r="B50" s="10">
        <f t="shared" si="0"/>
        <v>2602.0789473684163</v>
      </c>
      <c r="C50" s="10">
        <f t="shared" si="1"/>
        <v>4.3855263157894662</v>
      </c>
      <c r="D50" s="10">
        <f t="shared" si="3"/>
        <v>29.236842105263158</v>
      </c>
      <c r="E50" s="5">
        <f t="shared" si="4"/>
        <v>33.622368421052627</v>
      </c>
      <c r="F50" s="6"/>
      <c r="G50" s="6"/>
      <c r="H50" s="6"/>
      <c r="I50" s="6"/>
      <c r="J50" s="6"/>
    </row>
    <row r="51" spans="1:10">
      <c r="A51" s="16">
        <v>32</v>
      </c>
      <c r="B51" s="10">
        <f t="shared" si="0"/>
        <v>2572.8421052631529</v>
      </c>
      <c r="C51" s="10">
        <f t="shared" si="1"/>
        <v>4.3367982456140277</v>
      </c>
      <c r="D51" s="10">
        <f t="shared" si="3"/>
        <v>29.236842105263158</v>
      </c>
      <c r="E51" s="5">
        <f t="shared" si="4"/>
        <v>33.573640350877184</v>
      </c>
      <c r="F51" s="6"/>
      <c r="G51" s="6"/>
      <c r="H51" s="12">
        <f ca="1">SUM(H20:H50)</f>
        <v>352.74249999999898</v>
      </c>
      <c r="I51" s="12">
        <f ca="1">SUM(I20:I50)</f>
        <v>3333</v>
      </c>
      <c r="J51" s="12">
        <f ca="1">SUM(J20:J50)</f>
        <v>3685.7424999999989</v>
      </c>
    </row>
    <row r="52" spans="1:10">
      <c r="A52" s="16">
        <v>33</v>
      </c>
      <c r="B52" s="10">
        <f t="shared" si="0"/>
        <v>2543.6052631578896</v>
      </c>
      <c r="C52" s="10">
        <f t="shared" si="1"/>
        <v>4.2880701754385884</v>
      </c>
      <c r="D52" s="10">
        <f t="shared" si="3"/>
        <v>29.236842105263158</v>
      </c>
      <c r="E52" s="5">
        <f t="shared" si="4"/>
        <v>33.524912280701749</v>
      </c>
      <c r="F52" s="6"/>
      <c r="G52" s="6"/>
      <c r="H52" s="6"/>
      <c r="I52" s="6"/>
      <c r="J52" s="6"/>
    </row>
    <row r="53" spans="1:10">
      <c r="A53" s="16">
        <v>34</v>
      </c>
      <c r="B53" s="10">
        <f t="shared" si="0"/>
        <v>2514.3684210526262</v>
      </c>
      <c r="C53" s="10">
        <f t="shared" si="1"/>
        <v>4.239342105263149</v>
      </c>
      <c r="D53" s="10">
        <f t="shared" si="3"/>
        <v>29.236842105263158</v>
      </c>
      <c r="E53" s="5">
        <f t="shared" si="4"/>
        <v>33.476184210526306</v>
      </c>
      <c r="F53" s="6"/>
      <c r="G53" s="6"/>
      <c r="H53" s="6"/>
      <c r="I53" s="6"/>
      <c r="J53" s="6"/>
    </row>
    <row r="54" spans="1:10">
      <c r="A54" s="16">
        <v>35</v>
      </c>
      <c r="B54" s="10">
        <f t="shared" si="0"/>
        <v>2485.1315789473629</v>
      </c>
      <c r="C54" s="10">
        <f t="shared" si="1"/>
        <v>4.1906140350877106</v>
      </c>
      <c r="D54" s="10">
        <f t="shared" si="3"/>
        <v>29.236842105263158</v>
      </c>
      <c r="E54" s="5">
        <f t="shared" si="4"/>
        <v>33.42745614035087</v>
      </c>
      <c r="F54" s="6"/>
      <c r="G54" s="6"/>
      <c r="H54" s="6"/>
      <c r="I54" s="6"/>
      <c r="J54" s="6"/>
    </row>
    <row r="55" spans="1:10">
      <c r="A55" s="16">
        <v>36</v>
      </c>
      <c r="B55" s="10">
        <f t="shared" si="0"/>
        <v>2455.8947368420995</v>
      </c>
      <c r="C55" s="10">
        <f t="shared" si="1"/>
        <v>4.1418859649122721</v>
      </c>
      <c r="D55" s="10">
        <f t="shared" si="3"/>
        <v>29.236842105263158</v>
      </c>
      <c r="E55" s="5">
        <f t="shared" si="4"/>
        <v>33.378728070175427</v>
      </c>
      <c r="F55" s="6"/>
      <c r="G55" s="6"/>
      <c r="H55" s="6"/>
      <c r="I55" s="6"/>
      <c r="J55" s="6"/>
    </row>
    <row r="56" spans="1:10">
      <c r="A56" s="16">
        <v>37</v>
      </c>
      <c r="B56" s="10">
        <f t="shared" si="0"/>
        <v>2426.6578947368362</v>
      </c>
      <c r="C56" s="10">
        <f t="shared" si="1"/>
        <v>4.0931578947368328</v>
      </c>
      <c r="D56" s="10">
        <f t="shared" si="3"/>
        <v>29.236842105263158</v>
      </c>
      <c r="E56" s="5">
        <f t="shared" si="4"/>
        <v>33.329999999999991</v>
      </c>
      <c r="F56" s="6"/>
      <c r="G56" s="6"/>
      <c r="H56" s="6"/>
      <c r="I56" s="6"/>
      <c r="J56" s="6"/>
    </row>
    <row r="57" spans="1:10">
      <c r="A57" s="16">
        <v>38</v>
      </c>
      <c r="B57" s="10">
        <f t="shared" si="0"/>
        <v>2397.4210526315728</v>
      </c>
      <c r="C57" s="10">
        <f t="shared" si="1"/>
        <v>4.0444298245613934</v>
      </c>
      <c r="D57" s="10">
        <f t="shared" si="3"/>
        <v>29.236842105263158</v>
      </c>
      <c r="E57" s="5">
        <f t="shared" si="4"/>
        <v>33.281271929824548</v>
      </c>
      <c r="F57" s="6"/>
      <c r="G57" s="6"/>
      <c r="H57" s="6"/>
      <c r="I57" s="6"/>
      <c r="J57" s="6"/>
    </row>
    <row r="58" spans="1:10">
      <c r="A58" s="16">
        <v>39</v>
      </c>
      <c r="B58" s="10">
        <f t="shared" si="0"/>
        <v>2368.1842105263095</v>
      </c>
      <c r="C58" s="10">
        <f t="shared" si="1"/>
        <v>3.995701754385955</v>
      </c>
      <c r="D58" s="10">
        <f t="shared" si="3"/>
        <v>29.236842105263158</v>
      </c>
      <c r="E58" s="5">
        <f t="shared" si="4"/>
        <v>33.232543859649113</v>
      </c>
      <c r="F58" s="6"/>
      <c r="G58" s="6"/>
      <c r="H58" s="6"/>
      <c r="I58" s="6"/>
      <c r="J58" s="6"/>
    </row>
    <row r="59" spans="1:10">
      <c r="A59" s="16">
        <v>40</v>
      </c>
      <c r="B59" s="10">
        <f t="shared" si="0"/>
        <v>2338.9473684210461</v>
      </c>
      <c r="C59" s="10">
        <f t="shared" si="1"/>
        <v>3.9469736842105156</v>
      </c>
      <c r="D59" s="10">
        <f t="shared" si="3"/>
        <v>29.236842105263158</v>
      </c>
      <c r="E59" s="5">
        <f t="shared" si="4"/>
        <v>33.18381578947367</v>
      </c>
      <c r="F59" s="6"/>
      <c r="G59" s="6"/>
      <c r="H59" s="6"/>
      <c r="I59" s="6"/>
      <c r="J59" s="6"/>
    </row>
    <row r="60" spans="1:10">
      <c r="A60" s="16">
        <v>41</v>
      </c>
      <c r="B60" s="10">
        <f t="shared" si="0"/>
        <v>2309.7105263157828</v>
      </c>
      <c r="C60" s="10">
        <f t="shared" si="1"/>
        <v>3.8982456140350767</v>
      </c>
      <c r="D60" s="10">
        <f t="shared" si="3"/>
        <v>29.236842105263158</v>
      </c>
      <c r="E60" s="5">
        <f t="shared" si="4"/>
        <v>33.135087719298234</v>
      </c>
      <c r="F60" s="6"/>
      <c r="G60" s="6"/>
      <c r="H60" s="6"/>
      <c r="I60" s="6"/>
      <c r="J60" s="6"/>
    </row>
    <row r="61" spans="1:10">
      <c r="A61" s="16">
        <v>42</v>
      </c>
      <c r="B61" s="10">
        <f t="shared" si="0"/>
        <v>2280.4736842105194</v>
      </c>
      <c r="C61" s="10">
        <f t="shared" si="1"/>
        <v>3.8495175438596383</v>
      </c>
      <c r="D61" s="10">
        <f t="shared" si="3"/>
        <v>29.236842105263158</v>
      </c>
      <c r="E61" s="5">
        <f t="shared" si="4"/>
        <v>33.086359649122798</v>
      </c>
      <c r="F61" s="6"/>
      <c r="G61" s="6"/>
      <c r="H61" s="6"/>
      <c r="I61" s="6"/>
      <c r="J61" s="6"/>
    </row>
    <row r="62" spans="1:10">
      <c r="A62" s="16">
        <v>43</v>
      </c>
      <c r="B62" s="10">
        <f t="shared" si="0"/>
        <v>2251.2368421052561</v>
      </c>
      <c r="C62" s="10">
        <f t="shared" si="1"/>
        <v>3.8007894736841994</v>
      </c>
      <c r="D62" s="10">
        <f t="shared" si="3"/>
        <v>29.236842105263158</v>
      </c>
      <c r="E62" s="5">
        <f t="shared" si="4"/>
        <v>33.037631578947355</v>
      </c>
      <c r="F62" s="6"/>
      <c r="G62" s="6"/>
      <c r="H62" s="6"/>
      <c r="I62" s="6"/>
      <c r="J62" s="6"/>
    </row>
    <row r="63" spans="1:10">
      <c r="A63" s="16">
        <v>44</v>
      </c>
      <c r="B63" s="10">
        <f t="shared" si="0"/>
        <v>2221.9999999999927</v>
      </c>
      <c r="C63" s="10">
        <f t="shared" si="1"/>
        <v>3.7520614035087601</v>
      </c>
      <c r="D63" s="10">
        <f t="shared" si="3"/>
        <v>29.236842105263158</v>
      </c>
      <c r="E63" s="5">
        <f t="shared" si="4"/>
        <v>32.988903508771919</v>
      </c>
      <c r="F63" s="6"/>
      <c r="G63" s="6"/>
      <c r="H63" s="6"/>
      <c r="I63" s="6"/>
      <c r="J63" s="6"/>
    </row>
    <row r="64" spans="1:10">
      <c r="A64" s="16">
        <v>45</v>
      </c>
      <c r="B64" s="10">
        <f t="shared" si="0"/>
        <v>2192.7631578947294</v>
      </c>
      <c r="C64" s="10">
        <f t="shared" si="1"/>
        <v>3.7033333333333212</v>
      </c>
      <c r="D64" s="10">
        <f t="shared" si="3"/>
        <v>29.236842105263158</v>
      </c>
      <c r="E64" s="5">
        <f t="shared" si="4"/>
        <v>32.940175438596476</v>
      </c>
      <c r="F64" s="6"/>
      <c r="G64" s="6"/>
      <c r="H64" s="6"/>
      <c r="I64" s="6"/>
      <c r="J64" s="6"/>
    </row>
    <row r="65" spans="1:10">
      <c r="A65" s="16">
        <v>46</v>
      </c>
      <c r="B65" s="10">
        <f t="shared" si="0"/>
        <v>2163.526315789466</v>
      </c>
      <c r="C65" s="10">
        <f t="shared" si="1"/>
        <v>3.6546052631578827</v>
      </c>
      <c r="D65" s="10">
        <f t="shared" si="3"/>
        <v>29.236842105263158</v>
      </c>
      <c r="E65" s="5">
        <f t="shared" si="4"/>
        <v>32.891447368421041</v>
      </c>
      <c r="F65" s="6"/>
      <c r="G65" s="6"/>
      <c r="H65" s="6"/>
      <c r="I65" s="6"/>
      <c r="J65" s="6"/>
    </row>
    <row r="66" spans="1:10">
      <c r="A66" s="16">
        <v>47</v>
      </c>
      <c r="B66" s="10">
        <f t="shared" si="0"/>
        <v>2134.2894736842027</v>
      </c>
      <c r="C66" s="10">
        <f t="shared" si="1"/>
        <v>3.6058771929824434</v>
      </c>
      <c r="D66" s="10">
        <f t="shared" si="3"/>
        <v>29.236842105263158</v>
      </c>
      <c r="E66" s="5">
        <f t="shared" si="4"/>
        <v>32.842719298245598</v>
      </c>
      <c r="F66" s="6"/>
      <c r="G66" s="6"/>
      <c r="H66" s="6"/>
      <c r="I66" s="6"/>
      <c r="J66" s="6"/>
    </row>
    <row r="67" spans="1:10">
      <c r="A67" s="16">
        <v>48</v>
      </c>
      <c r="B67" s="10">
        <f t="shared" si="0"/>
        <v>2105.0526315789393</v>
      </c>
      <c r="C67" s="10">
        <f t="shared" si="1"/>
        <v>3.5571491228070045</v>
      </c>
      <c r="D67" s="10">
        <f t="shared" si="3"/>
        <v>29.236842105263158</v>
      </c>
      <c r="E67" s="5">
        <f t="shared" si="4"/>
        <v>32.793991228070162</v>
      </c>
      <c r="F67" s="6"/>
      <c r="G67" s="6"/>
      <c r="H67" s="6"/>
      <c r="I67" s="6"/>
      <c r="J67" s="6"/>
    </row>
    <row r="68" spans="1:10">
      <c r="A68" s="16">
        <v>49</v>
      </c>
      <c r="B68" s="10">
        <f t="shared" si="0"/>
        <v>2075.815789473676</v>
      </c>
      <c r="C68" s="10">
        <f t="shared" si="1"/>
        <v>3.5084210526315656</v>
      </c>
      <c r="D68" s="10">
        <f t="shared" si="3"/>
        <v>29.236842105263158</v>
      </c>
      <c r="E68" s="5">
        <f t="shared" si="4"/>
        <v>32.745263157894726</v>
      </c>
      <c r="F68" s="6"/>
      <c r="G68" s="6"/>
      <c r="H68" s="6"/>
      <c r="I68" s="6"/>
      <c r="J68" s="6"/>
    </row>
    <row r="69" spans="1:10">
      <c r="A69" s="16">
        <v>50</v>
      </c>
      <c r="B69" s="10">
        <f t="shared" si="0"/>
        <v>2046.5789473684129</v>
      </c>
      <c r="C69" s="10">
        <f t="shared" si="1"/>
        <v>3.4596929824561271</v>
      </c>
      <c r="D69" s="10">
        <f t="shared" si="3"/>
        <v>29.236842105263158</v>
      </c>
      <c r="E69" s="5">
        <f t="shared" si="4"/>
        <v>32.696535087719283</v>
      </c>
      <c r="F69" s="6"/>
      <c r="G69" s="6"/>
      <c r="H69" s="6"/>
      <c r="I69" s="6"/>
      <c r="J69" s="6"/>
    </row>
    <row r="70" spans="1:10">
      <c r="A70" s="16">
        <v>51</v>
      </c>
      <c r="B70" s="10">
        <f t="shared" si="0"/>
        <v>2017.3421052631497</v>
      </c>
      <c r="C70" s="10">
        <f t="shared" si="1"/>
        <v>3.4109649122806882</v>
      </c>
      <c r="D70" s="10">
        <f t="shared" si="3"/>
        <v>29.236842105263158</v>
      </c>
      <c r="E70" s="5">
        <f t="shared" si="4"/>
        <v>32.647807017543848</v>
      </c>
      <c r="F70" s="6"/>
      <c r="G70" s="6"/>
      <c r="H70" s="6"/>
      <c r="I70" s="6"/>
      <c r="J70" s="6"/>
    </row>
    <row r="71" spans="1:10">
      <c r="A71" s="16">
        <v>52</v>
      </c>
      <c r="B71" s="10">
        <f t="shared" si="0"/>
        <v>1988.1052631578866</v>
      </c>
      <c r="C71" s="10">
        <f t="shared" si="1"/>
        <v>3.3622368421052493</v>
      </c>
      <c r="D71" s="10">
        <f t="shared" si="3"/>
        <v>29.236842105263158</v>
      </c>
      <c r="E71" s="5">
        <f t="shared" si="4"/>
        <v>32.599078947368405</v>
      </c>
      <c r="F71" s="6"/>
      <c r="G71" s="6"/>
      <c r="H71" s="6"/>
      <c r="I71" s="6"/>
      <c r="J71" s="6"/>
    </row>
    <row r="72" spans="1:10">
      <c r="A72" s="16">
        <v>53</v>
      </c>
      <c r="B72" s="10">
        <f t="shared" si="0"/>
        <v>1958.8684210526235</v>
      </c>
      <c r="C72" s="10">
        <f t="shared" si="1"/>
        <v>3.3135087719298113</v>
      </c>
      <c r="D72" s="10">
        <f t="shared" si="3"/>
        <v>29.236842105263158</v>
      </c>
      <c r="E72" s="5">
        <f t="shared" si="4"/>
        <v>32.550350877192969</v>
      </c>
      <c r="F72" s="6"/>
      <c r="G72" s="6"/>
      <c r="H72" s="6"/>
      <c r="I72" s="6"/>
      <c r="J72" s="6"/>
    </row>
    <row r="73" spans="1:10">
      <c r="A73" s="16">
        <v>54</v>
      </c>
      <c r="B73" s="10">
        <f t="shared" si="0"/>
        <v>1929.6315789473604</v>
      </c>
      <c r="C73" s="10">
        <f t="shared" si="1"/>
        <v>3.2647807017543724</v>
      </c>
      <c r="D73" s="10">
        <f t="shared" si="3"/>
        <v>29.236842105263158</v>
      </c>
      <c r="E73" s="5">
        <f t="shared" si="4"/>
        <v>32.501622807017533</v>
      </c>
      <c r="F73" s="6"/>
      <c r="G73" s="6"/>
      <c r="H73" s="6"/>
      <c r="I73" s="6"/>
      <c r="J73" s="6"/>
    </row>
    <row r="74" spans="1:10">
      <c r="A74" s="16">
        <v>55</v>
      </c>
      <c r="B74" s="10">
        <f t="shared" si="0"/>
        <v>1900.3947368420972</v>
      </c>
      <c r="C74" s="10">
        <f t="shared" si="1"/>
        <v>3.216052631578934</v>
      </c>
      <c r="D74" s="10">
        <f t="shared" si="3"/>
        <v>29.236842105263158</v>
      </c>
      <c r="E74" s="5">
        <f t="shared" si="4"/>
        <v>32.45289473684209</v>
      </c>
      <c r="F74" s="6"/>
      <c r="G74" s="6"/>
      <c r="H74" s="6"/>
      <c r="I74" s="6"/>
      <c r="J74" s="6"/>
    </row>
    <row r="75" spans="1:10">
      <c r="A75" s="16">
        <v>56</v>
      </c>
      <c r="B75" s="10">
        <f t="shared" si="0"/>
        <v>1871.1578947368341</v>
      </c>
      <c r="C75" s="10">
        <f t="shared" si="1"/>
        <v>3.1673245614034955</v>
      </c>
      <c r="D75" s="10">
        <f t="shared" si="3"/>
        <v>29.236842105263158</v>
      </c>
      <c r="E75" s="5">
        <f t="shared" si="4"/>
        <v>32.404166666666654</v>
      </c>
      <c r="F75" s="6"/>
      <c r="G75" s="6"/>
      <c r="H75" s="6"/>
      <c r="I75" s="6"/>
      <c r="J75" s="6"/>
    </row>
    <row r="76" spans="1:10">
      <c r="A76" s="16">
        <v>57</v>
      </c>
      <c r="B76" s="10">
        <f t="shared" si="0"/>
        <v>1841.921052631571</v>
      </c>
      <c r="C76" s="10">
        <f t="shared" si="1"/>
        <v>3.118596491228057</v>
      </c>
      <c r="D76" s="10">
        <f t="shared" si="3"/>
        <v>29.236842105263158</v>
      </c>
      <c r="E76" s="5">
        <f t="shared" si="4"/>
        <v>32.355438596491211</v>
      </c>
      <c r="F76" s="6"/>
      <c r="G76" s="6"/>
      <c r="H76" s="6"/>
      <c r="I76" s="6"/>
      <c r="J76" s="6"/>
    </row>
    <row r="77" spans="1:10">
      <c r="A77" s="16">
        <v>58</v>
      </c>
      <c r="B77" s="10">
        <f t="shared" si="0"/>
        <v>1812.6842105263079</v>
      </c>
      <c r="C77" s="10">
        <f t="shared" si="1"/>
        <v>3.0698684210526181</v>
      </c>
      <c r="D77" s="10">
        <f t="shared" si="3"/>
        <v>29.236842105263158</v>
      </c>
      <c r="E77" s="5">
        <f t="shared" si="4"/>
        <v>32.306710526315776</v>
      </c>
      <c r="F77" s="6"/>
      <c r="G77" s="6"/>
      <c r="H77" s="6"/>
      <c r="I77" s="6"/>
      <c r="J77" s="6"/>
    </row>
    <row r="78" spans="1:10">
      <c r="A78" s="16">
        <v>59</v>
      </c>
      <c r="B78" s="10">
        <f t="shared" si="0"/>
        <v>1783.4473684210448</v>
      </c>
      <c r="C78" s="10">
        <f t="shared" si="1"/>
        <v>3.0211403508771801</v>
      </c>
      <c r="D78" s="10">
        <f t="shared" si="3"/>
        <v>29.236842105263158</v>
      </c>
      <c r="E78" s="5">
        <f t="shared" si="4"/>
        <v>32.25798245614034</v>
      </c>
      <c r="F78" s="6"/>
      <c r="G78" s="6"/>
      <c r="H78" s="6"/>
      <c r="I78" s="6"/>
      <c r="J78" s="6"/>
    </row>
    <row r="79" spans="1:10">
      <c r="A79" s="16">
        <v>60</v>
      </c>
      <c r="B79" s="10">
        <f t="shared" si="0"/>
        <v>1754.2105263157816</v>
      </c>
      <c r="C79" s="10">
        <f t="shared" si="1"/>
        <v>2.9724122807017412</v>
      </c>
      <c r="D79" s="10">
        <f t="shared" si="3"/>
        <v>29.236842105263158</v>
      </c>
      <c r="E79" s="5">
        <f t="shared" si="4"/>
        <v>32.209254385964897</v>
      </c>
      <c r="F79" s="6"/>
      <c r="G79" s="6"/>
      <c r="H79" s="6"/>
      <c r="I79" s="6"/>
      <c r="J79" s="6"/>
    </row>
    <row r="80" spans="1:10">
      <c r="A80" s="16">
        <v>61</v>
      </c>
      <c r="B80" s="10">
        <f t="shared" si="0"/>
        <v>1724.9736842105185</v>
      </c>
      <c r="C80" s="10">
        <f t="shared" si="1"/>
        <v>2.9236842105263032</v>
      </c>
      <c r="D80" s="10">
        <f t="shared" si="3"/>
        <v>29.236842105263158</v>
      </c>
      <c r="E80" s="5">
        <f t="shared" si="4"/>
        <v>32.160526315789461</v>
      </c>
      <c r="F80" s="6"/>
      <c r="G80" s="6"/>
      <c r="H80" s="6"/>
      <c r="I80" s="6"/>
      <c r="J80" s="6"/>
    </row>
    <row r="81" spans="1:10">
      <c r="A81" s="16">
        <v>62</v>
      </c>
      <c r="B81" s="10">
        <f t="shared" si="0"/>
        <v>1695.7368421052554</v>
      </c>
      <c r="C81" s="10">
        <f t="shared" si="1"/>
        <v>2.8749561403508643</v>
      </c>
      <c r="D81" s="10">
        <f t="shared" si="3"/>
        <v>29.236842105263158</v>
      </c>
      <c r="E81" s="5">
        <f t="shared" si="4"/>
        <v>32.111798245614025</v>
      </c>
      <c r="F81" s="6"/>
      <c r="G81" s="6"/>
      <c r="H81" s="6"/>
      <c r="I81" s="6"/>
      <c r="J81" s="6"/>
    </row>
    <row r="82" spans="1:10">
      <c r="A82" s="16">
        <v>63</v>
      </c>
      <c r="B82" s="10">
        <f t="shared" si="0"/>
        <v>1666.4999999999923</v>
      </c>
      <c r="C82" s="10">
        <f t="shared" si="1"/>
        <v>2.8262280701754254</v>
      </c>
      <c r="D82" s="10">
        <f t="shared" si="3"/>
        <v>29.236842105263158</v>
      </c>
      <c r="E82" s="5">
        <f t="shared" si="4"/>
        <v>32.063070175438583</v>
      </c>
      <c r="F82" s="6"/>
      <c r="G82" s="6"/>
      <c r="H82" s="6"/>
      <c r="I82" s="6"/>
      <c r="J82" s="6"/>
    </row>
    <row r="83" spans="1:10">
      <c r="A83" s="16">
        <v>64</v>
      </c>
      <c r="B83" s="10">
        <f t="shared" si="0"/>
        <v>1637.2631578947291</v>
      </c>
      <c r="C83" s="10">
        <f t="shared" si="1"/>
        <v>2.7774999999999874</v>
      </c>
      <c r="D83" s="10">
        <f t="shared" si="3"/>
        <v>29.236842105263158</v>
      </c>
      <c r="E83" s="5">
        <f t="shared" si="4"/>
        <v>32.014342105263147</v>
      </c>
      <c r="F83" s="6"/>
      <c r="G83" s="6"/>
      <c r="H83" s="6"/>
      <c r="I83" s="6"/>
      <c r="J83" s="6"/>
    </row>
    <row r="84" spans="1:10">
      <c r="A84" s="16">
        <v>65</v>
      </c>
      <c r="B84" s="10">
        <f t="shared" ref="B84:B147" si="8">IF(A84&lt;=$D$5*12,B83-D84,0)</f>
        <v>1608.026315789466</v>
      </c>
      <c r="C84" s="10">
        <f t="shared" ref="C84:C147" si="9">IF(A84&lt;=$D$5*12,B83*$D$6/12,0)</f>
        <v>2.7287719298245485</v>
      </c>
      <c r="D84" s="10">
        <f t="shared" si="3"/>
        <v>29.236842105263158</v>
      </c>
      <c r="E84" s="5">
        <f t="shared" si="4"/>
        <v>31.965614035087707</v>
      </c>
      <c r="F84" s="6"/>
      <c r="G84" s="6"/>
      <c r="H84" s="6"/>
      <c r="I84" s="6"/>
      <c r="J84" s="6"/>
    </row>
    <row r="85" spans="1:10">
      <c r="A85" s="16">
        <v>66</v>
      </c>
      <c r="B85" s="10">
        <f t="shared" si="8"/>
        <v>1578.7894736842029</v>
      </c>
      <c r="C85" s="10">
        <f t="shared" si="9"/>
        <v>2.6800438596491101</v>
      </c>
      <c r="D85" s="10">
        <f t="shared" ref="D85:D148" si="10">IF($D$3="Annuitätendarlehen",IF(A85&lt;=$D$5*12,E85-C85,0),IF($D$3="Ratendarlehen",IF(AND(A85&lt;=$D$5*12,A85&gt;$D$7),$D$4/($D$5*12-$D$7),0),IF($D$3="Restwertdarlehen",IF(A85=$D$5*12,$D$4,0),0)))</f>
        <v>29.236842105263158</v>
      </c>
      <c r="E85" s="5">
        <f t="shared" ref="E85:E148" si="11">IF($D$3="Annuitätendarlehen",IF(AND(A85&lt;=$D$5*12,A85&gt;$D$7),PMT($D$6/12,$D$5*12-$D$7,-$D$4,$D$8,0),IF(A85&lt;=$D$7,C85,0)),IF($D$3="Ratendarlehen",IF(AND(A85&lt;=$D$5*12,A85&gt;$D$7),$D$4/($D$5*12-$D$7)+C85,IF(A85&lt;=$D$7,C85,0)),IF(AND($D$3="Restwertdarlehen",A85&lt;=$D$5*12),C85+D85,0)))</f>
        <v>31.916885964912268</v>
      </c>
      <c r="F85" s="6"/>
      <c r="G85" s="6"/>
      <c r="H85" s="6"/>
      <c r="I85" s="6"/>
      <c r="J85" s="6"/>
    </row>
    <row r="86" spans="1:10">
      <c r="A86" s="16">
        <v>67</v>
      </c>
      <c r="B86" s="10">
        <f t="shared" si="8"/>
        <v>1549.5526315789398</v>
      </c>
      <c r="C86" s="10">
        <f t="shared" si="9"/>
        <v>2.6313157894736716</v>
      </c>
      <c r="D86" s="10">
        <f t="shared" si="10"/>
        <v>29.236842105263158</v>
      </c>
      <c r="E86" s="5">
        <f t="shared" si="11"/>
        <v>31.868157894736829</v>
      </c>
      <c r="F86" s="6"/>
      <c r="G86" s="6"/>
      <c r="H86" s="6"/>
      <c r="I86" s="6"/>
      <c r="J86" s="6"/>
    </row>
    <row r="87" spans="1:10">
      <c r="A87" s="16">
        <v>68</v>
      </c>
      <c r="B87" s="10">
        <f t="shared" si="8"/>
        <v>1520.3157894736767</v>
      </c>
      <c r="C87" s="10">
        <f t="shared" si="9"/>
        <v>2.5825877192982332</v>
      </c>
      <c r="D87" s="10">
        <f t="shared" si="10"/>
        <v>29.236842105263158</v>
      </c>
      <c r="E87" s="5">
        <f t="shared" si="11"/>
        <v>31.819429824561389</v>
      </c>
      <c r="F87" s="6"/>
      <c r="G87" s="6"/>
      <c r="H87" s="6"/>
      <c r="I87" s="6"/>
      <c r="J87" s="6"/>
    </row>
    <row r="88" spans="1:10">
      <c r="A88" s="16">
        <v>69</v>
      </c>
      <c r="B88" s="10">
        <f t="shared" si="8"/>
        <v>1491.0789473684135</v>
      </c>
      <c r="C88" s="10">
        <f t="shared" si="9"/>
        <v>2.5338596491227947</v>
      </c>
      <c r="D88" s="10">
        <f t="shared" si="10"/>
        <v>29.236842105263158</v>
      </c>
      <c r="E88" s="5">
        <f t="shared" si="11"/>
        <v>31.770701754385954</v>
      </c>
      <c r="F88" s="6"/>
      <c r="G88" s="6"/>
      <c r="H88" s="6"/>
      <c r="I88" s="6"/>
      <c r="J88" s="6"/>
    </row>
    <row r="89" spans="1:10">
      <c r="A89" s="16">
        <v>70</v>
      </c>
      <c r="B89" s="10">
        <f t="shared" si="8"/>
        <v>1461.8421052631504</v>
      </c>
      <c r="C89" s="10">
        <f t="shared" si="9"/>
        <v>2.4851315789473558</v>
      </c>
      <c r="D89" s="10">
        <f t="shared" si="10"/>
        <v>29.236842105263158</v>
      </c>
      <c r="E89" s="5">
        <f t="shared" si="11"/>
        <v>31.721973684210514</v>
      </c>
      <c r="F89" s="6"/>
      <c r="G89" s="6"/>
      <c r="H89" s="6"/>
      <c r="I89" s="6"/>
      <c r="J89" s="6"/>
    </row>
    <row r="90" spans="1:10">
      <c r="A90" s="16">
        <v>71</v>
      </c>
      <c r="B90" s="10">
        <f t="shared" si="8"/>
        <v>1432.6052631578873</v>
      </c>
      <c r="C90" s="10">
        <f t="shared" si="9"/>
        <v>2.4364035087719174</v>
      </c>
      <c r="D90" s="10">
        <f t="shared" si="10"/>
        <v>29.236842105263158</v>
      </c>
      <c r="E90" s="5">
        <f t="shared" si="11"/>
        <v>31.673245614035075</v>
      </c>
      <c r="F90" s="6"/>
      <c r="G90" s="6"/>
      <c r="H90" s="6"/>
      <c r="I90" s="6"/>
      <c r="J90" s="6"/>
    </row>
    <row r="91" spans="1:10">
      <c r="A91" s="16">
        <v>72</v>
      </c>
      <c r="B91" s="10">
        <f t="shared" si="8"/>
        <v>1403.3684210526242</v>
      </c>
      <c r="C91" s="10">
        <f t="shared" si="9"/>
        <v>2.3876754385964789</v>
      </c>
      <c r="D91" s="10">
        <f t="shared" si="10"/>
        <v>29.236842105263158</v>
      </c>
      <c r="E91" s="5">
        <f t="shared" si="11"/>
        <v>31.624517543859636</v>
      </c>
      <c r="F91" s="6"/>
      <c r="G91" s="6"/>
      <c r="H91" s="6"/>
      <c r="I91" s="6"/>
      <c r="J91" s="6"/>
    </row>
    <row r="92" spans="1:10">
      <c r="A92" s="16">
        <v>73</v>
      </c>
      <c r="B92" s="10">
        <f t="shared" si="8"/>
        <v>1374.131578947361</v>
      </c>
      <c r="C92" s="10">
        <f t="shared" si="9"/>
        <v>2.3389473684210405</v>
      </c>
      <c r="D92" s="10">
        <f t="shared" si="10"/>
        <v>29.236842105263158</v>
      </c>
      <c r="E92" s="5">
        <f t="shared" si="11"/>
        <v>31.575789473684196</v>
      </c>
      <c r="F92" s="6"/>
      <c r="G92" s="6"/>
      <c r="H92" s="6"/>
      <c r="I92" s="6"/>
      <c r="J92" s="6"/>
    </row>
    <row r="93" spans="1:10">
      <c r="A93" s="16">
        <v>74</v>
      </c>
      <c r="B93" s="10">
        <f t="shared" si="8"/>
        <v>1344.8947368420979</v>
      </c>
      <c r="C93" s="10">
        <f t="shared" si="9"/>
        <v>2.2902192982456016</v>
      </c>
      <c r="D93" s="10">
        <f t="shared" si="10"/>
        <v>29.236842105263158</v>
      </c>
      <c r="E93" s="5">
        <f t="shared" si="11"/>
        <v>31.52706140350876</v>
      </c>
      <c r="F93" s="6"/>
      <c r="G93" s="6"/>
      <c r="H93" s="6"/>
      <c r="I93" s="6"/>
      <c r="J93" s="6"/>
    </row>
    <row r="94" spans="1:10">
      <c r="A94" s="16">
        <v>75</v>
      </c>
      <c r="B94" s="10">
        <f t="shared" si="8"/>
        <v>1315.6578947368348</v>
      </c>
      <c r="C94" s="10">
        <f t="shared" si="9"/>
        <v>2.2414912280701631</v>
      </c>
      <c r="D94" s="10">
        <f t="shared" si="10"/>
        <v>29.236842105263158</v>
      </c>
      <c r="E94" s="5">
        <f t="shared" si="11"/>
        <v>31.478333333333321</v>
      </c>
      <c r="F94" s="6"/>
      <c r="G94" s="6"/>
      <c r="H94" s="6"/>
      <c r="I94" s="6"/>
      <c r="J94" s="6"/>
    </row>
    <row r="95" spans="1:10">
      <c r="A95" s="16">
        <v>76</v>
      </c>
      <c r="B95" s="10">
        <f t="shared" si="8"/>
        <v>1286.4210526315717</v>
      </c>
      <c r="C95" s="10">
        <f t="shared" si="9"/>
        <v>2.1927631578947246</v>
      </c>
      <c r="D95" s="10">
        <f t="shared" si="10"/>
        <v>29.236842105263158</v>
      </c>
      <c r="E95" s="5">
        <f t="shared" si="11"/>
        <v>31.429605263157882</v>
      </c>
      <c r="F95" s="6"/>
      <c r="G95" s="6"/>
      <c r="H95" s="6"/>
      <c r="I95" s="6"/>
      <c r="J95" s="6"/>
    </row>
    <row r="96" spans="1:10">
      <c r="A96" s="16">
        <v>77</v>
      </c>
      <c r="B96" s="10">
        <f t="shared" si="8"/>
        <v>1257.1842105263086</v>
      </c>
      <c r="C96" s="10">
        <f t="shared" si="9"/>
        <v>2.1440350877192862</v>
      </c>
      <c r="D96" s="10">
        <f t="shared" si="10"/>
        <v>29.236842105263158</v>
      </c>
      <c r="E96" s="5">
        <f t="shared" si="11"/>
        <v>31.380877192982442</v>
      </c>
      <c r="F96" s="6"/>
      <c r="G96" s="6"/>
      <c r="H96" s="6"/>
      <c r="I96" s="6"/>
      <c r="J96" s="6"/>
    </row>
    <row r="97" spans="1:10">
      <c r="A97" s="16">
        <v>78</v>
      </c>
      <c r="B97" s="10">
        <f t="shared" si="8"/>
        <v>1227.9473684210454</v>
      </c>
      <c r="C97" s="10">
        <f t="shared" si="9"/>
        <v>2.0953070175438477</v>
      </c>
      <c r="D97" s="10">
        <f t="shared" si="10"/>
        <v>29.236842105263158</v>
      </c>
      <c r="E97" s="5">
        <f t="shared" si="11"/>
        <v>31.332149122807007</v>
      </c>
      <c r="F97" s="6"/>
      <c r="G97" s="6"/>
      <c r="H97" s="6"/>
      <c r="I97" s="6"/>
      <c r="J97" s="6"/>
    </row>
    <row r="98" spans="1:10">
      <c r="A98" s="16">
        <v>79</v>
      </c>
      <c r="B98" s="10">
        <f t="shared" si="8"/>
        <v>1198.7105263157823</v>
      </c>
      <c r="C98" s="10">
        <f t="shared" si="9"/>
        <v>2.0465789473684093</v>
      </c>
      <c r="D98" s="10">
        <f t="shared" si="10"/>
        <v>29.236842105263158</v>
      </c>
      <c r="E98" s="5">
        <f t="shared" si="11"/>
        <v>31.283421052631567</v>
      </c>
      <c r="F98" s="6"/>
      <c r="G98" s="6"/>
      <c r="H98" s="6"/>
      <c r="I98" s="6"/>
      <c r="J98" s="6"/>
    </row>
    <row r="99" spans="1:10">
      <c r="A99" s="16">
        <v>80</v>
      </c>
      <c r="B99" s="10">
        <f t="shared" si="8"/>
        <v>1169.4736842105192</v>
      </c>
      <c r="C99" s="10">
        <f t="shared" si="9"/>
        <v>1.9978508771929706</v>
      </c>
      <c r="D99" s="10">
        <f t="shared" si="10"/>
        <v>29.236842105263158</v>
      </c>
      <c r="E99" s="5">
        <f t="shared" si="11"/>
        <v>31.234692982456128</v>
      </c>
      <c r="F99" s="6"/>
      <c r="G99" s="6"/>
      <c r="H99" s="6"/>
      <c r="I99" s="6"/>
      <c r="J99" s="6"/>
    </row>
    <row r="100" spans="1:10">
      <c r="A100" s="16">
        <v>81</v>
      </c>
      <c r="B100" s="10">
        <f t="shared" si="8"/>
        <v>1140.2368421052561</v>
      </c>
      <c r="C100" s="10">
        <f t="shared" si="9"/>
        <v>1.9491228070175319</v>
      </c>
      <c r="D100" s="10">
        <f t="shared" si="10"/>
        <v>29.236842105263158</v>
      </c>
      <c r="E100" s="5">
        <f t="shared" si="11"/>
        <v>31.185964912280689</v>
      </c>
      <c r="F100" s="6"/>
      <c r="G100" s="6"/>
      <c r="H100" s="6"/>
      <c r="I100" s="6"/>
      <c r="J100" s="6"/>
    </row>
    <row r="101" spans="1:10">
      <c r="A101" s="16">
        <v>82</v>
      </c>
      <c r="B101" s="10">
        <f t="shared" si="8"/>
        <v>1110.999999999993</v>
      </c>
      <c r="C101" s="10">
        <f t="shared" si="9"/>
        <v>1.9003947368420935</v>
      </c>
      <c r="D101" s="10">
        <f t="shared" si="10"/>
        <v>29.236842105263158</v>
      </c>
      <c r="E101" s="5">
        <f t="shared" si="11"/>
        <v>31.137236842105253</v>
      </c>
      <c r="F101" s="6"/>
      <c r="G101" s="6"/>
      <c r="H101" s="6"/>
      <c r="I101" s="6"/>
      <c r="J101" s="6"/>
    </row>
    <row r="102" spans="1:10">
      <c r="A102" s="16">
        <v>83</v>
      </c>
      <c r="B102" s="10">
        <f t="shared" si="8"/>
        <v>1081.7631578947298</v>
      </c>
      <c r="C102" s="10">
        <f t="shared" si="9"/>
        <v>1.851666666666655</v>
      </c>
      <c r="D102" s="10">
        <f t="shared" si="10"/>
        <v>29.236842105263158</v>
      </c>
      <c r="E102" s="5">
        <f t="shared" si="11"/>
        <v>31.088508771929813</v>
      </c>
      <c r="F102" s="6"/>
      <c r="G102" s="6"/>
      <c r="H102" s="6"/>
      <c r="I102" s="6"/>
      <c r="J102" s="6"/>
    </row>
    <row r="103" spans="1:10">
      <c r="A103" s="16">
        <v>84</v>
      </c>
      <c r="B103" s="10">
        <f t="shared" si="8"/>
        <v>1052.5263157894667</v>
      </c>
      <c r="C103" s="10">
        <f t="shared" si="9"/>
        <v>1.8029385964912163</v>
      </c>
      <c r="D103" s="10">
        <f t="shared" si="10"/>
        <v>29.236842105263158</v>
      </c>
      <c r="E103" s="5">
        <f t="shared" si="11"/>
        <v>31.039780701754374</v>
      </c>
      <c r="F103" s="6"/>
      <c r="G103" s="6"/>
      <c r="H103" s="6"/>
      <c r="I103" s="6"/>
      <c r="J103" s="6"/>
    </row>
    <row r="104" spans="1:10">
      <c r="A104" s="16">
        <v>85</v>
      </c>
      <c r="B104" s="10">
        <f t="shared" si="8"/>
        <v>1023.2894736842036</v>
      </c>
      <c r="C104" s="10">
        <f t="shared" si="9"/>
        <v>1.7542105263157779</v>
      </c>
      <c r="D104" s="10">
        <f t="shared" si="10"/>
        <v>29.236842105263158</v>
      </c>
      <c r="E104" s="5">
        <f t="shared" si="11"/>
        <v>30.991052631578935</v>
      </c>
      <c r="F104" s="6"/>
      <c r="G104" s="6"/>
      <c r="H104" s="6"/>
      <c r="I104" s="6"/>
      <c r="J104" s="6"/>
    </row>
    <row r="105" spans="1:10">
      <c r="A105" s="16">
        <v>86</v>
      </c>
      <c r="B105" s="10">
        <f t="shared" si="8"/>
        <v>994.05263157894046</v>
      </c>
      <c r="C105" s="10">
        <f t="shared" si="9"/>
        <v>1.7054824561403394</v>
      </c>
      <c r="D105" s="10">
        <f t="shared" si="10"/>
        <v>29.236842105263158</v>
      </c>
      <c r="E105" s="5">
        <f t="shared" si="11"/>
        <v>30.942324561403495</v>
      </c>
      <c r="F105" s="6"/>
      <c r="G105" s="6"/>
      <c r="H105" s="6"/>
      <c r="I105" s="6"/>
      <c r="J105" s="6"/>
    </row>
    <row r="106" spans="1:10">
      <c r="A106" s="16">
        <v>87</v>
      </c>
      <c r="B106" s="10">
        <f t="shared" si="8"/>
        <v>964.81578947367734</v>
      </c>
      <c r="C106" s="10">
        <f t="shared" si="9"/>
        <v>1.656754385964901</v>
      </c>
      <c r="D106" s="10">
        <f t="shared" si="10"/>
        <v>29.236842105263158</v>
      </c>
      <c r="E106" s="5">
        <f t="shared" si="11"/>
        <v>30.89359649122806</v>
      </c>
      <c r="F106" s="6"/>
      <c r="G106" s="6"/>
      <c r="H106" s="6"/>
      <c r="I106" s="6"/>
      <c r="J106" s="6"/>
    </row>
    <row r="107" spans="1:10">
      <c r="A107" s="16">
        <v>88</v>
      </c>
      <c r="B107" s="10">
        <f t="shared" si="8"/>
        <v>935.57894736841422</v>
      </c>
      <c r="C107" s="10">
        <f t="shared" si="9"/>
        <v>1.6080263157894621</v>
      </c>
      <c r="D107" s="10">
        <f t="shared" si="10"/>
        <v>29.236842105263158</v>
      </c>
      <c r="E107" s="5">
        <f t="shared" si="11"/>
        <v>30.84486842105262</v>
      </c>
      <c r="F107" s="6"/>
      <c r="G107" s="6"/>
      <c r="H107" s="6"/>
      <c r="I107" s="6"/>
      <c r="J107" s="6"/>
    </row>
    <row r="108" spans="1:10">
      <c r="A108" s="16">
        <v>89</v>
      </c>
      <c r="B108" s="10">
        <f t="shared" si="8"/>
        <v>906.3421052631511</v>
      </c>
      <c r="C108" s="10">
        <f t="shared" si="9"/>
        <v>1.5592982456140236</v>
      </c>
      <c r="D108" s="10">
        <f t="shared" si="10"/>
        <v>29.236842105263158</v>
      </c>
      <c r="E108" s="5">
        <f t="shared" si="11"/>
        <v>30.796140350877181</v>
      </c>
      <c r="F108" s="6"/>
      <c r="G108" s="6"/>
      <c r="H108" s="6"/>
      <c r="I108" s="6"/>
      <c r="J108" s="6"/>
    </row>
    <row r="109" spans="1:10">
      <c r="A109" s="16">
        <v>90</v>
      </c>
      <c r="B109" s="10">
        <f t="shared" si="8"/>
        <v>877.10526315788798</v>
      </c>
      <c r="C109" s="10">
        <f t="shared" si="9"/>
        <v>1.5105701754385852</v>
      </c>
      <c r="D109" s="10">
        <f t="shared" si="10"/>
        <v>29.236842105263158</v>
      </c>
      <c r="E109" s="5">
        <f t="shared" si="11"/>
        <v>30.747412280701742</v>
      </c>
      <c r="F109" s="6"/>
      <c r="G109" s="6"/>
      <c r="H109" s="6"/>
      <c r="I109" s="6"/>
      <c r="J109" s="6"/>
    </row>
    <row r="110" spans="1:10">
      <c r="A110" s="16">
        <v>91</v>
      </c>
      <c r="B110" s="10">
        <f t="shared" si="8"/>
        <v>847.86842105262485</v>
      </c>
      <c r="C110" s="10">
        <f t="shared" si="9"/>
        <v>1.4618421052631467</v>
      </c>
      <c r="D110" s="10">
        <f t="shared" si="10"/>
        <v>29.236842105263158</v>
      </c>
      <c r="E110" s="5">
        <f t="shared" si="11"/>
        <v>30.698684210526306</v>
      </c>
      <c r="F110" s="6"/>
      <c r="G110" s="6"/>
      <c r="H110" s="6"/>
      <c r="I110" s="6"/>
      <c r="J110" s="6"/>
    </row>
    <row r="111" spans="1:10">
      <c r="A111" s="16">
        <v>92</v>
      </c>
      <c r="B111" s="10">
        <f t="shared" si="8"/>
        <v>818.63157894736173</v>
      </c>
      <c r="C111" s="10">
        <f t="shared" si="9"/>
        <v>1.4131140350877081</v>
      </c>
      <c r="D111" s="10">
        <f t="shared" si="10"/>
        <v>29.236842105263158</v>
      </c>
      <c r="E111" s="5">
        <f t="shared" si="11"/>
        <v>30.649956140350866</v>
      </c>
      <c r="F111" s="6"/>
      <c r="G111" s="6"/>
      <c r="H111" s="6"/>
      <c r="I111" s="6"/>
      <c r="J111" s="6"/>
    </row>
    <row r="112" spans="1:10">
      <c r="A112" s="16">
        <v>93</v>
      </c>
      <c r="B112" s="10">
        <f t="shared" si="8"/>
        <v>789.39473684209861</v>
      </c>
      <c r="C112" s="10">
        <f t="shared" si="9"/>
        <v>1.3643859649122696</v>
      </c>
      <c r="D112" s="10">
        <f t="shared" si="10"/>
        <v>29.236842105263158</v>
      </c>
      <c r="E112" s="5">
        <f t="shared" si="11"/>
        <v>30.601228070175427</v>
      </c>
      <c r="F112" s="6"/>
      <c r="G112" s="6"/>
      <c r="H112" s="6"/>
      <c r="I112" s="6"/>
      <c r="J112" s="6"/>
    </row>
    <row r="113" spans="1:10">
      <c r="A113" s="16">
        <v>94</v>
      </c>
      <c r="B113" s="10">
        <f t="shared" si="8"/>
        <v>760.15789473683549</v>
      </c>
      <c r="C113" s="10">
        <f t="shared" si="9"/>
        <v>1.3156578947368309</v>
      </c>
      <c r="D113" s="10">
        <f t="shared" si="10"/>
        <v>29.236842105263158</v>
      </c>
      <c r="E113" s="5">
        <f t="shared" si="11"/>
        <v>30.552499999999988</v>
      </c>
      <c r="F113" s="6"/>
      <c r="G113" s="6"/>
      <c r="H113" s="6"/>
      <c r="I113" s="6"/>
      <c r="J113" s="6"/>
    </row>
    <row r="114" spans="1:10">
      <c r="A114" s="16">
        <v>95</v>
      </c>
      <c r="B114" s="10">
        <f t="shared" si="8"/>
        <v>730.92105263157237</v>
      </c>
      <c r="C114" s="10">
        <f t="shared" si="9"/>
        <v>1.2669298245613925</v>
      </c>
      <c r="D114" s="10">
        <f t="shared" si="10"/>
        <v>29.236842105263158</v>
      </c>
      <c r="E114" s="5">
        <f t="shared" si="11"/>
        <v>30.503771929824548</v>
      </c>
      <c r="F114" s="6"/>
      <c r="G114" s="6"/>
      <c r="H114" s="6"/>
      <c r="I114" s="6"/>
      <c r="J114" s="6"/>
    </row>
    <row r="115" spans="1:10">
      <c r="A115" s="16">
        <v>96</v>
      </c>
      <c r="B115" s="10">
        <f t="shared" si="8"/>
        <v>701.68421052630924</v>
      </c>
      <c r="C115" s="10">
        <f t="shared" si="9"/>
        <v>1.218201754385954</v>
      </c>
      <c r="D115" s="10">
        <f t="shared" si="10"/>
        <v>29.236842105263158</v>
      </c>
      <c r="E115" s="5">
        <f t="shared" si="11"/>
        <v>30.455043859649113</v>
      </c>
      <c r="F115" s="6"/>
      <c r="G115" s="6"/>
      <c r="H115" s="6"/>
      <c r="I115" s="6"/>
      <c r="J115" s="6"/>
    </row>
    <row r="116" spans="1:10">
      <c r="A116" s="16">
        <v>97</v>
      </c>
      <c r="B116" s="10">
        <f t="shared" si="8"/>
        <v>672.44736842104612</v>
      </c>
      <c r="C116" s="10">
        <f t="shared" si="9"/>
        <v>1.1694736842105156</v>
      </c>
      <c r="D116" s="10">
        <f t="shared" si="10"/>
        <v>29.236842105263158</v>
      </c>
      <c r="E116" s="5">
        <f t="shared" si="11"/>
        <v>30.406315789473673</v>
      </c>
      <c r="F116" s="6"/>
      <c r="G116" s="6"/>
      <c r="H116" s="6"/>
      <c r="I116" s="6"/>
      <c r="J116" s="6"/>
    </row>
    <row r="117" spans="1:10">
      <c r="A117" s="16">
        <v>98</v>
      </c>
      <c r="B117" s="10">
        <f t="shared" si="8"/>
        <v>643.210526315783</v>
      </c>
      <c r="C117" s="10">
        <f t="shared" si="9"/>
        <v>1.1207456140350769</v>
      </c>
      <c r="D117" s="10">
        <f t="shared" si="10"/>
        <v>29.236842105263158</v>
      </c>
      <c r="E117" s="5">
        <f t="shared" si="11"/>
        <v>30.357587719298234</v>
      </c>
      <c r="F117" s="6"/>
      <c r="G117" s="6"/>
      <c r="H117" s="6"/>
      <c r="I117" s="6"/>
      <c r="J117" s="6"/>
    </row>
    <row r="118" spans="1:10">
      <c r="A118" s="16">
        <v>99</v>
      </c>
      <c r="B118" s="10">
        <f t="shared" si="8"/>
        <v>613.97368421051988</v>
      </c>
      <c r="C118" s="10">
        <f t="shared" si="9"/>
        <v>1.0720175438596382</v>
      </c>
      <c r="D118" s="10">
        <f t="shared" si="10"/>
        <v>29.236842105263158</v>
      </c>
      <c r="E118" s="5">
        <f t="shared" si="11"/>
        <v>30.308859649122795</v>
      </c>
      <c r="F118" s="6"/>
      <c r="G118" s="6"/>
      <c r="H118" s="6"/>
      <c r="I118" s="6"/>
      <c r="J118" s="6"/>
    </row>
    <row r="119" spans="1:10">
      <c r="A119" s="16">
        <v>100</v>
      </c>
      <c r="B119" s="10">
        <f t="shared" si="8"/>
        <v>584.73684210525676</v>
      </c>
      <c r="C119" s="10">
        <f t="shared" si="9"/>
        <v>1.0232894736841998</v>
      </c>
      <c r="D119" s="10">
        <f t="shared" si="10"/>
        <v>29.236842105263158</v>
      </c>
      <c r="E119" s="5">
        <f t="shared" si="11"/>
        <v>30.260131578947359</v>
      </c>
      <c r="F119" s="6"/>
      <c r="G119" s="6"/>
      <c r="H119" s="6"/>
      <c r="I119" s="6"/>
      <c r="J119" s="6"/>
    </row>
    <row r="120" spans="1:10">
      <c r="A120" s="16">
        <v>101</v>
      </c>
      <c r="B120" s="10">
        <f t="shared" si="8"/>
        <v>555.49999999999363</v>
      </c>
      <c r="C120" s="10">
        <f t="shared" si="9"/>
        <v>0.97456140350876119</v>
      </c>
      <c r="D120" s="10">
        <f t="shared" si="10"/>
        <v>29.236842105263158</v>
      </c>
      <c r="E120" s="5">
        <f t="shared" si="11"/>
        <v>30.211403508771919</v>
      </c>
      <c r="F120" s="6"/>
      <c r="G120" s="6"/>
      <c r="H120" s="6"/>
      <c r="I120" s="6"/>
      <c r="J120" s="6"/>
    </row>
    <row r="121" spans="1:10">
      <c r="A121" s="16">
        <v>102</v>
      </c>
      <c r="B121" s="10">
        <f t="shared" si="8"/>
        <v>526.26315789473051</v>
      </c>
      <c r="C121" s="10">
        <f t="shared" si="9"/>
        <v>0.92583333333332274</v>
      </c>
      <c r="D121" s="10">
        <f t="shared" si="10"/>
        <v>29.236842105263158</v>
      </c>
      <c r="E121" s="5">
        <f t="shared" si="11"/>
        <v>30.16267543859648</v>
      </c>
      <c r="F121" s="6"/>
      <c r="G121" s="6"/>
      <c r="H121" s="6"/>
      <c r="I121" s="6"/>
      <c r="J121" s="6"/>
    </row>
    <row r="122" spans="1:10">
      <c r="A122" s="16">
        <v>103</v>
      </c>
      <c r="B122" s="10">
        <f t="shared" si="8"/>
        <v>497.02631578946733</v>
      </c>
      <c r="C122" s="10">
        <f t="shared" si="9"/>
        <v>0.87710526315788417</v>
      </c>
      <c r="D122" s="10">
        <f t="shared" si="10"/>
        <v>29.236842105263158</v>
      </c>
      <c r="E122" s="5">
        <f t="shared" si="11"/>
        <v>30.113947368421041</v>
      </c>
      <c r="F122" s="6"/>
      <c r="G122" s="6"/>
      <c r="H122" s="6"/>
      <c r="I122" s="6"/>
      <c r="J122" s="6"/>
    </row>
    <row r="123" spans="1:10">
      <c r="A123" s="16">
        <v>104</v>
      </c>
      <c r="B123" s="10">
        <f t="shared" si="8"/>
        <v>467.78947368420415</v>
      </c>
      <c r="C123" s="10">
        <f t="shared" si="9"/>
        <v>0.82837719298244561</v>
      </c>
      <c r="D123" s="10">
        <f t="shared" si="10"/>
        <v>29.236842105263158</v>
      </c>
      <c r="E123" s="5">
        <f t="shared" si="11"/>
        <v>30.065219298245601</v>
      </c>
      <c r="F123" s="6"/>
      <c r="G123" s="6"/>
      <c r="H123" s="6"/>
      <c r="I123" s="6"/>
      <c r="J123" s="6"/>
    </row>
    <row r="124" spans="1:10">
      <c r="A124" s="16">
        <v>105</v>
      </c>
      <c r="B124" s="10">
        <f t="shared" si="8"/>
        <v>438.55263157894098</v>
      </c>
      <c r="C124" s="10">
        <f t="shared" si="9"/>
        <v>0.77964912280700693</v>
      </c>
      <c r="D124" s="10">
        <f t="shared" si="10"/>
        <v>29.236842105263158</v>
      </c>
      <c r="E124" s="5">
        <f t="shared" si="11"/>
        <v>30.016491228070166</v>
      </c>
      <c r="F124" s="6"/>
      <c r="G124" s="6"/>
      <c r="H124" s="6"/>
      <c r="I124" s="6"/>
      <c r="J124" s="6"/>
    </row>
    <row r="125" spans="1:10">
      <c r="A125" s="16">
        <v>106</v>
      </c>
      <c r="B125" s="10">
        <f t="shared" si="8"/>
        <v>409.3157894736778</v>
      </c>
      <c r="C125" s="10">
        <f t="shared" si="9"/>
        <v>0.73092105263156837</v>
      </c>
      <c r="D125" s="10">
        <f t="shared" si="10"/>
        <v>29.236842105263158</v>
      </c>
      <c r="E125" s="5">
        <f t="shared" si="11"/>
        <v>29.967763157894726</v>
      </c>
      <c r="F125" s="6"/>
      <c r="G125" s="6"/>
      <c r="H125" s="6"/>
      <c r="I125" s="6"/>
      <c r="J125" s="6"/>
    </row>
    <row r="126" spans="1:10">
      <c r="A126" s="16">
        <v>107</v>
      </c>
      <c r="B126" s="10">
        <f t="shared" si="8"/>
        <v>380.07894736841462</v>
      </c>
      <c r="C126" s="10">
        <f t="shared" si="9"/>
        <v>0.68219298245612958</v>
      </c>
      <c r="D126" s="10">
        <f t="shared" si="10"/>
        <v>29.236842105263158</v>
      </c>
      <c r="E126" s="5">
        <f t="shared" si="11"/>
        <v>29.919035087719287</v>
      </c>
      <c r="F126" s="6"/>
      <c r="G126" s="6"/>
      <c r="H126" s="6"/>
      <c r="I126" s="6"/>
      <c r="J126" s="6"/>
    </row>
    <row r="127" spans="1:10">
      <c r="A127" s="16">
        <v>108</v>
      </c>
      <c r="B127" s="10">
        <f t="shared" si="8"/>
        <v>350.84210526315144</v>
      </c>
      <c r="C127" s="10">
        <f t="shared" si="9"/>
        <v>0.63346491228069102</v>
      </c>
      <c r="D127" s="10">
        <f t="shared" si="10"/>
        <v>29.236842105263158</v>
      </c>
      <c r="E127" s="5">
        <f t="shared" si="11"/>
        <v>29.870307017543848</v>
      </c>
      <c r="F127" s="6"/>
      <c r="G127" s="6"/>
      <c r="H127" s="6"/>
      <c r="I127" s="6"/>
      <c r="J127" s="6"/>
    </row>
    <row r="128" spans="1:10">
      <c r="A128" s="16">
        <v>109</v>
      </c>
      <c r="B128" s="10">
        <f t="shared" si="8"/>
        <v>321.60526315788826</v>
      </c>
      <c r="C128" s="10">
        <f t="shared" si="9"/>
        <v>0.58473684210525245</v>
      </c>
      <c r="D128" s="10">
        <f t="shared" si="10"/>
        <v>29.236842105263158</v>
      </c>
      <c r="E128" s="5">
        <f t="shared" si="11"/>
        <v>29.821578947368408</v>
      </c>
      <c r="F128" s="6"/>
      <c r="G128" s="6"/>
      <c r="H128" s="6"/>
      <c r="I128" s="6"/>
      <c r="J128" s="6"/>
    </row>
    <row r="129" spans="1:10">
      <c r="A129" s="16">
        <v>110</v>
      </c>
      <c r="B129" s="10">
        <f t="shared" si="8"/>
        <v>292.36842105262508</v>
      </c>
      <c r="C129" s="10">
        <f t="shared" si="9"/>
        <v>0.53600877192981378</v>
      </c>
      <c r="D129" s="10">
        <f t="shared" si="10"/>
        <v>29.236842105263158</v>
      </c>
      <c r="E129" s="5">
        <f t="shared" si="11"/>
        <v>29.772850877192973</v>
      </c>
      <c r="F129" s="6"/>
      <c r="G129" s="6"/>
      <c r="H129" s="6"/>
      <c r="I129" s="6"/>
      <c r="J129" s="6"/>
    </row>
    <row r="130" spans="1:10">
      <c r="A130" s="16">
        <v>111</v>
      </c>
      <c r="B130" s="10">
        <f t="shared" si="8"/>
        <v>263.1315789473619</v>
      </c>
      <c r="C130" s="10">
        <f t="shared" si="9"/>
        <v>0.48728070175437516</v>
      </c>
      <c r="D130" s="10">
        <f t="shared" si="10"/>
        <v>29.236842105263158</v>
      </c>
      <c r="E130" s="5">
        <f t="shared" si="11"/>
        <v>29.724122807017533</v>
      </c>
      <c r="F130" s="6"/>
      <c r="G130" s="6"/>
      <c r="H130" s="6"/>
      <c r="I130" s="6"/>
      <c r="J130" s="6"/>
    </row>
    <row r="131" spans="1:10">
      <c r="A131" s="16">
        <v>112</v>
      </c>
      <c r="B131" s="10">
        <f t="shared" si="8"/>
        <v>233.89473684209875</v>
      </c>
      <c r="C131" s="10">
        <f t="shared" si="9"/>
        <v>0.43855263157893654</v>
      </c>
      <c r="D131" s="10">
        <f t="shared" si="10"/>
        <v>29.236842105263158</v>
      </c>
      <c r="E131" s="5">
        <f t="shared" si="11"/>
        <v>29.675394736842094</v>
      </c>
      <c r="F131" s="6"/>
      <c r="G131" s="6"/>
      <c r="H131" s="6"/>
      <c r="I131" s="6"/>
      <c r="J131" s="6"/>
    </row>
    <row r="132" spans="1:10">
      <c r="A132" s="16">
        <v>113</v>
      </c>
      <c r="B132" s="10">
        <f t="shared" si="8"/>
        <v>204.6578947368356</v>
      </c>
      <c r="C132" s="10">
        <f t="shared" si="9"/>
        <v>0.38982456140349792</v>
      </c>
      <c r="D132" s="10">
        <f t="shared" si="10"/>
        <v>29.236842105263158</v>
      </c>
      <c r="E132" s="5">
        <f t="shared" si="11"/>
        <v>29.626666666666654</v>
      </c>
      <c r="F132" s="6"/>
      <c r="G132" s="6"/>
      <c r="H132" s="6"/>
      <c r="I132" s="6"/>
      <c r="J132" s="6"/>
    </row>
    <row r="133" spans="1:10">
      <c r="A133" s="16">
        <v>114</v>
      </c>
      <c r="B133" s="10">
        <f t="shared" si="8"/>
        <v>175.42105263157245</v>
      </c>
      <c r="C133" s="10">
        <f t="shared" si="9"/>
        <v>0.34109649122805935</v>
      </c>
      <c r="D133" s="10">
        <f t="shared" si="10"/>
        <v>29.236842105263158</v>
      </c>
      <c r="E133" s="5">
        <f t="shared" si="11"/>
        <v>29.577938596491215</v>
      </c>
      <c r="F133" s="6"/>
      <c r="G133" s="6"/>
      <c r="H133" s="6"/>
      <c r="I133" s="6"/>
      <c r="J133" s="6"/>
    </row>
    <row r="134" spans="1:10">
      <c r="A134" s="16">
        <v>115</v>
      </c>
      <c r="B134" s="10">
        <f t="shared" si="8"/>
        <v>146.1842105263093</v>
      </c>
      <c r="C134" s="10">
        <f t="shared" si="9"/>
        <v>0.29236842105262079</v>
      </c>
      <c r="D134" s="10">
        <f t="shared" si="10"/>
        <v>29.236842105263158</v>
      </c>
      <c r="E134" s="5">
        <f t="shared" si="11"/>
        <v>29.529210526315779</v>
      </c>
      <c r="F134" s="6"/>
      <c r="G134" s="6"/>
      <c r="H134" s="6"/>
      <c r="I134" s="6"/>
      <c r="J134" s="6"/>
    </row>
    <row r="135" spans="1:10">
      <c r="A135" s="16">
        <v>116</v>
      </c>
      <c r="B135" s="10">
        <f t="shared" si="8"/>
        <v>116.94736842104615</v>
      </c>
      <c r="C135" s="10">
        <f t="shared" si="9"/>
        <v>0.24364035087718217</v>
      </c>
      <c r="D135" s="10">
        <f t="shared" si="10"/>
        <v>29.236842105263158</v>
      </c>
      <c r="E135" s="5">
        <f t="shared" si="11"/>
        <v>29.48048245614034</v>
      </c>
      <c r="F135" s="6"/>
      <c r="G135" s="6"/>
      <c r="H135" s="6"/>
      <c r="I135" s="6"/>
      <c r="J135" s="6"/>
    </row>
    <row r="136" spans="1:10">
      <c r="A136" s="16">
        <v>117</v>
      </c>
      <c r="B136" s="10">
        <f t="shared" si="8"/>
        <v>87.710526315783</v>
      </c>
      <c r="C136" s="10">
        <f t="shared" si="9"/>
        <v>0.1949122807017436</v>
      </c>
      <c r="D136" s="10">
        <f t="shared" si="10"/>
        <v>29.236842105263158</v>
      </c>
      <c r="E136" s="5">
        <f t="shared" si="11"/>
        <v>29.431754385964901</v>
      </c>
      <c r="F136" s="6"/>
      <c r="G136" s="6"/>
      <c r="H136" s="6"/>
      <c r="I136" s="6"/>
      <c r="J136" s="6"/>
    </row>
    <row r="137" spans="1:10">
      <c r="A137" s="16">
        <v>118</v>
      </c>
      <c r="B137" s="10">
        <f t="shared" si="8"/>
        <v>58.473684210519842</v>
      </c>
      <c r="C137" s="10">
        <f t="shared" si="9"/>
        <v>0.14618421052630501</v>
      </c>
      <c r="D137" s="10">
        <f t="shared" si="10"/>
        <v>29.236842105263158</v>
      </c>
      <c r="E137" s="5">
        <f t="shared" si="11"/>
        <v>29.383026315789461</v>
      </c>
      <c r="F137" s="6"/>
      <c r="G137" s="6"/>
      <c r="H137" s="6"/>
      <c r="I137" s="6"/>
      <c r="J137" s="6"/>
    </row>
    <row r="138" spans="1:10">
      <c r="A138" s="16">
        <v>119</v>
      </c>
      <c r="B138" s="10">
        <f t="shared" si="8"/>
        <v>29.236842105256684</v>
      </c>
      <c r="C138" s="10">
        <f t="shared" si="9"/>
        <v>9.7456140350866402E-2</v>
      </c>
      <c r="D138" s="10">
        <f t="shared" si="10"/>
        <v>29.236842105263158</v>
      </c>
      <c r="E138" s="5">
        <f t="shared" si="11"/>
        <v>29.334298245614026</v>
      </c>
      <c r="F138" s="6"/>
      <c r="G138" s="6"/>
      <c r="H138" s="6"/>
      <c r="I138" s="6"/>
      <c r="J138" s="6"/>
    </row>
    <row r="139" spans="1:10">
      <c r="A139" s="16">
        <v>120</v>
      </c>
      <c r="B139" s="10">
        <f t="shared" si="8"/>
        <v>-6.4730443227745127E-12</v>
      </c>
      <c r="C139" s="10">
        <f t="shared" si="9"/>
        <v>4.8728070175427803E-2</v>
      </c>
      <c r="D139" s="10">
        <f t="shared" si="10"/>
        <v>29.236842105263158</v>
      </c>
      <c r="E139" s="5">
        <f t="shared" si="11"/>
        <v>29.285570175438586</v>
      </c>
      <c r="F139" s="6"/>
      <c r="G139" s="6"/>
      <c r="H139" s="6"/>
      <c r="I139" s="6"/>
      <c r="J139" s="6"/>
    </row>
    <row r="140" spans="1:10">
      <c r="A140" s="16">
        <v>121</v>
      </c>
      <c r="B140" s="10">
        <f t="shared" si="8"/>
        <v>0</v>
      </c>
      <c r="C140" s="10">
        <f t="shared" si="9"/>
        <v>0</v>
      </c>
      <c r="D140" s="10">
        <f t="shared" si="10"/>
        <v>0</v>
      </c>
      <c r="E140" s="5">
        <f t="shared" si="11"/>
        <v>0</v>
      </c>
      <c r="F140" s="6"/>
      <c r="G140" s="6"/>
      <c r="H140" s="6"/>
      <c r="I140" s="6"/>
      <c r="J140" s="6"/>
    </row>
    <row r="141" spans="1:10">
      <c r="A141" s="16">
        <v>122</v>
      </c>
      <c r="B141" s="10">
        <f t="shared" si="8"/>
        <v>0</v>
      </c>
      <c r="C141" s="10">
        <f t="shared" si="9"/>
        <v>0</v>
      </c>
      <c r="D141" s="10">
        <f t="shared" si="10"/>
        <v>0</v>
      </c>
      <c r="E141" s="5">
        <f t="shared" si="11"/>
        <v>0</v>
      </c>
      <c r="F141" s="6"/>
      <c r="G141" s="6"/>
      <c r="H141" s="6"/>
      <c r="I141" s="6"/>
      <c r="J141" s="6"/>
    </row>
    <row r="142" spans="1:10">
      <c r="A142" s="16">
        <v>123</v>
      </c>
      <c r="B142" s="10">
        <f t="shared" si="8"/>
        <v>0</v>
      </c>
      <c r="C142" s="10">
        <f t="shared" si="9"/>
        <v>0</v>
      </c>
      <c r="D142" s="10">
        <f t="shared" si="10"/>
        <v>0</v>
      </c>
      <c r="E142" s="5">
        <f t="shared" si="11"/>
        <v>0</v>
      </c>
      <c r="F142" s="6"/>
      <c r="G142" s="6"/>
      <c r="H142" s="6"/>
      <c r="I142" s="6"/>
      <c r="J142" s="6"/>
    </row>
    <row r="143" spans="1:10">
      <c r="A143" s="16">
        <v>124</v>
      </c>
      <c r="B143" s="10">
        <f t="shared" si="8"/>
        <v>0</v>
      </c>
      <c r="C143" s="10">
        <f t="shared" si="9"/>
        <v>0</v>
      </c>
      <c r="D143" s="10">
        <f t="shared" si="10"/>
        <v>0</v>
      </c>
      <c r="E143" s="5">
        <f t="shared" si="11"/>
        <v>0</v>
      </c>
      <c r="F143" s="6"/>
      <c r="G143" s="6"/>
      <c r="H143" s="6"/>
      <c r="I143" s="6"/>
      <c r="J143" s="6"/>
    </row>
    <row r="144" spans="1:10">
      <c r="A144" s="16">
        <v>125</v>
      </c>
      <c r="B144" s="10">
        <f t="shared" si="8"/>
        <v>0</v>
      </c>
      <c r="C144" s="10">
        <f t="shared" si="9"/>
        <v>0</v>
      </c>
      <c r="D144" s="10">
        <f t="shared" si="10"/>
        <v>0</v>
      </c>
      <c r="E144" s="5">
        <f t="shared" si="11"/>
        <v>0</v>
      </c>
      <c r="F144" s="6"/>
      <c r="G144" s="6"/>
      <c r="H144" s="6"/>
      <c r="I144" s="6"/>
      <c r="J144" s="6"/>
    </row>
    <row r="145" spans="1:10">
      <c r="A145" s="16">
        <v>126</v>
      </c>
      <c r="B145" s="10">
        <f t="shared" si="8"/>
        <v>0</v>
      </c>
      <c r="C145" s="10">
        <f t="shared" si="9"/>
        <v>0</v>
      </c>
      <c r="D145" s="10">
        <f t="shared" si="10"/>
        <v>0</v>
      </c>
      <c r="E145" s="5">
        <f t="shared" si="11"/>
        <v>0</v>
      </c>
      <c r="F145" s="6"/>
      <c r="G145" s="6"/>
      <c r="H145" s="6"/>
      <c r="I145" s="6"/>
      <c r="J145" s="6"/>
    </row>
    <row r="146" spans="1:10">
      <c r="A146" s="16">
        <v>127</v>
      </c>
      <c r="B146" s="10">
        <f t="shared" si="8"/>
        <v>0</v>
      </c>
      <c r="C146" s="10">
        <f t="shared" si="9"/>
        <v>0</v>
      </c>
      <c r="D146" s="10">
        <f t="shared" si="10"/>
        <v>0</v>
      </c>
      <c r="E146" s="5">
        <f t="shared" si="11"/>
        <v>0</v>
      </c>
      <c r="F146" s="6"/>
      <c r="G146" s="6"/>
      <c r="H146" s="6"/>
      <c r="I146" s="6"/>
      <c r="J146" s="6"/>
    </row>
    <row r="147" spans="1:10">
      <c r="A147" s="16">
        <v>128</v>
      </c>
      <c r="B147" s="10">
        <f t="shared" si="8"/>
        <v>0</v>
      </c>
      <c r="C147" s="10">
        <f t="shared" si="9"/>
        <v>0</v>
      </c>
      <c r="D147" s="10">
        <f t="shared" si="10"/>
        <v>0</v>
      </c>
      <c r="E147" s="5">
        <f t="shared" si="11"/>
        <v>0</v>
      </c>
      <c r="F147" s="6"/>
      <c r="G147" s="6"/>
      <c r="H147" s="6"/>
      <c r="I147" s="6"/>
      <c r="J147" s="6"/>
    </row>
    <row r="148" spans="1:10">
      <c r="A148" s="16">
        <v>129</v>
      </c>
      <c r="B148" s="10">
        <f t="shared" ref="B148:B211" si="12">IF(A148&lt;=$D$5*12,B147-D148,0)</f>
        <v>0</v>
      </c>
      <c r="C148" s="10">
        <f t="shared" ref="C148:C211" si="13">IF(A148&lt;=$D$5*12,B147*$D$6/12,0)</f>
        <v>0</v>
      </c>
      <c r="D148" s="10">
        <f t="shared" si="10"/>
        <v>0</v>
      </c>
      <c r="E148" s="5">
        <f t="shared" si="11"/>
        <v>0</v>
      </c>
      <c r="F148" s="6"/>
      <c r="G148" s="6"/>
      <c r="H148" s="6"/>
      <c r="I148" s="6"/>
      <c r="J148" s="6"/>
    </row>
    <row r="149" spans="1:10">
      <c r="A149" s="16">
        <v>130</v>
      </c>
      <c r="B149" s="10">
        <f t="shared" si="12"/>
        <v>0</v>
      </c>
      <c r="C149" s="10">
        <f t="shared" si="13"/>
        <v>0</v>
      </c>
      <c r="D149" s="10">
        <f t="shared" ref="D149:D212" si="14">IF($D$3="Annuitätendarlehen",IF(A149&lt;=$D$5*12,E149-C149,0),IF($D$3="Ratendarlehen",IF(AND(A149&lt;=$D$5*12,A149&gt;$D$7),$D$4/($D$5*12-$D$7),0),IF($D$3="Restwertdarlehen",IF(A149=$D$5*12,$D$4,0),0)))</f>
        <v>0</v>
      </c>
      <c r="E149" s="5">
        <f t="shared" ref="E149:E212" si="15">IF($D$3="Annuitätendarlehen",IF(AND(A149&lt;=$D$5*12,A149&gt;$D$7),PMT($D$6/12,$D$5*12-$D$7,-$D$4,$D$8,0),IF(A149&lt;=$D$7,C149,0)),IF($D$3="Ratendarlehen",IF(AND(A149&lt;=$D$5*12,A149&gt;$D$7),$D$4/($D$5*12-$D$7)+C149,IF(A149&lt;=$D$7,C149,0)),IF(AND($D$3="Restwertdarlehen",A149&lt;=$D$5*12),C149+D149,0)))</f>
        <v>0</v>
      </c>
      <c r="F149" s="6"/>
      <c r="G149" s="6"/>
      <c r="H149" s="6"/>
      <c r="I149" s="6"/>
      <c r="J149" s="6"/>
    </row>
    <row r="150" spans="1:10">
      <c r="A150" s="16">
        <v>131</v>
      </c>
      <c r="B150" s="10">
        <f t="shared" si="12"/>
        <v>0</v>
      </c>
      <c r="C150" s="10">
        <f t="shared" si="13"/>
        <v>0</v>
      </c>
      <c r="D150" s="10">
        <f t="shared" si="14"/>
        <v>0</v>
      </c>
      <c r="E150" s="5">
        <f t="shared" si="15"/>
        <v>0</v>
      </c>
      <c r="F150" s="6"/>
      <c r="G150" s="6"/>
      <c r="H150" s="6"/>
      <c r="I150" s="6"/>
      <c r="J150" s="6"/>
    </row>
    <row r="151" spans="1:10">
      <c r="A151" s="16">
        <v>132</v>
      </c>
      <c r="B151" s="10">
        <f t="shared" si="12"/>
        <v>0</v>
      </c>
      <c r="C151" s="10">
        <f t="shared" si="13"/>
        <v>0</v>
      </c>
      <c r="D151" s="10">
        <f t="shared" si="14"/>
        <v>0</v>
      </c>
      <c r="E151" s="5">
        <f t="shared" si="15"/>
        <v>0</v>
      </c>
      <c r="F151" s="6"/>
      <c r="G151" s="6"/>
      <c r="H151" s="6"/>
      <c r="I151" s="6"/>
      <c r="J151" s="6"/>
    </row>
    <row r="152" spans="1:10">
      <c r="A152" s="16">
        <v>133</v>
      </c>
      <c r="B152" s="10">
        <f t="shared" si="12"/>
        <v>0</v>
      </c>
      <c r="C152" s="10">
        <f t="shared" si="13"/>
        <v>0</v>
      </c>
      <c r="D152" s="10">
        <f t="shared" si="14"/>
        <v>0</v>
      </c>
      <c r="E152" s="5">
        <f t="shared" si="15"/>
        <v>0</v>
      </c>
      <c r="F152" s="6"/>
      <c r="G152" s="6"/>
      <c r="H152" s="6"/>
      <c r="I152" s="6"/>
      <c r="J152" s="6"/>
    </row>
    <row r="153" spans="1:10">
      <c r="A153" s="16">
        <v>134</v>
      </c>
      <c r="B153" s="10">
        <f t="shared" si="12"/>
        <v>0</v>
      </c>
      <c r="C153" s="10">
        <f t="shared" si="13"/>
        <v>0</v>
      </c>
      <c r="D153" s="10">
        <f t="shared" si="14"/>
        <v>0</v>
      </c>
      <c r="E153" s="5">
        <f t="shared" si="15"/>
        <v>0</v>
      </c>
      <c r="F153" s="6"/>
      <c r="G153" s="6"/>
      <c r="H153" s="6"/>
      <c r="I153" s="6"/>
      <c r="J153" s="6"/>
    </row>
    <row r="154" spans="1:10">
      <c r="A154" s="16">
        <v>135</v>
      </c>
      <c r="B154" s="10">
        <f t="shared" si="12"/>
        <v>0</v>
      </c>
      <c r="C154" s="10">
        <f t="shared" si="13"/>
        <v>0</v>
      </c>
      <c r="D154" s="10">
        <f t="shared" si="14"/>
        <v>0</v>
      </c>
      <c r="E154" s="5">
        <f t="shared" si="15"/>
        <v>0</v>
      </c>
      <c r="F154" s="6"/>
      <c r="G154" s="6"/>
      <c r="H154" s="6"/>
      <c r="I154" s="6"/>
      <c r="J154" s="6"/>
    </row>
    <row r="155" spans="1:10">
      <c r="A155" s="16">
        <v>136</v>
      </c>
      <c r="B155" s="10">
        <f t="shared" si="12"/>
        <v>0</v>
      </c>
      <c r="C155" s="10">
        <f t="shared" si="13"/>
        <v>0</v>
      </c>
      <c r="D155" s="10">
        <f t="shared" si="14"/>
        <v>0</v>
      </c>
      <c r="E155" s="5">
        <f t="shared" si="15"/>
        <v>0</v>
      </c>
      <c r="F155" s="6"/>
      <c r="G155" s="6"/>
      <c r="H155" s="6"/>
      <c r="I155" s="6"/>
      <c r="J155" s="6"/>
    </row>
    <row r="156" spans="1:10">
      <c r="A156" s="16">
        <v>137</v>
      </c>
      <c r="B156" s="10">
        <f t="shared" si="12"/>
        <v>0</v>
      </c>
      <c r="C156" s="10">
        <f t="shared" si="13"/>
        <v>0</v>
      </c>
      <c r="D156" s="10">
        <f t="shared" si="14"/>
        <v>0</v>
      </c>
      <c r="E156" s="5">
        <f t="shared" si="15"/>
        <v>0</v>
      </c>
      <c r="F156" s="6"/>
      <c r="G156" s="6"/>
      <c r="H156" s="6"/>
      <c r="I156" s="6"/>
      <c r="J156" s="6"/>
    </row>
    <row r="157" spans="1:10">
      <c r="A157" s="16">
        <v>138</v>
      </c>
      <c r="B157" s="10">
        <f t="shared" si="12"/>
        <v>0</v>
      </c>
      <c r="C157" s="10">
        <f t="shared" si="13"/>
        <v>0</v>
      </c>
      <c r="D157" s="10">
        <f t="shared" si="14"/>
        <v>0</v>
      </c>
      <c r="E157" s="5">
        <f t="shared" si="15"/>
        <v>0</v>
      </c>
      <c r="F157" s="6"/>
      <c r="G157" s="6"/>
      <c r="H157" s="6"/>
      <c r="I157" s="6"/>
      <c r="J157" s="6"/>
    </row>
    <row r="158" spans="1:10">
      <c r="A158" s="16">
        <v>139</v>
      </c>
      <c r="B158" s="10">
        <f t="shared" si="12"/>
        <v>0</v>
      </c>
      <c r="C158" s="10">
        <f t="shared" si="13"/>
        <v>0</v>
      </c>
      <c r="D158" s="10">
        <f t="shared" si="14"/>
        <v>0</v>
      </c>
      <c r="E158" s="5">
        <f t="shared" si="15"/>
        <v>0</v>
      </c>
      <c r="F158" s="6"/>
      <c r="G158" s="6"/>
      <c r="H158" s="6"/>
      <c r="I158" s="6"/>
      <c r="J158" s="6"/>
    </row>
    <row r="159" spans="1:10">
      <c r="A159" s="16">
        <v>140</v>
      </c>
      <c r="B159" s="10">
        <f t="shared" si="12"/>
        <v>0</v>
      </c>
      <c r="C159" s="10">
        <f t="shared" si="13"/>
        <v>0</v>
      </c>
      <c r="D159" s="10">
        <f t="shared" si="14"/>
        <v>0</v>
      </c>
      <c r="E159" s="5">
        <f t="shared" si="15"/>
        <v>0</v>
      </c>
      <c r="F159" s="6"/>
      <c r="G159" s="6"/>
      <c r="H159" s="6"/>
      <c r="I159" s="6"/>
      <c r="J159" s="6"/>
    </row>
    <row r="160" spans="1:10">
      <c r="A160" s="16">
        <v>141</v>
      </c>
      <c r="B160" s="10">
        <f t="shared" si="12"/>
        <v>0</v>
      </c>
      <c r="C160" s="10">
        <f t="shared" si="13"/>
        <v>0</v>
      </c>
      <c r="D160" s="10">
        <f t="shared" si="14"/>
        <v>0</v>
      </c>
      <c r="E160" s="5">
        <f t="shared" si="15"/>
        <v>0</v>
      </c>
      <c r="F160" s="6"/>
      <c r="G160" s="6"/>
      <c r="H160" s="6"/>
      <c r="I160" s="6"/>
      <c r="J160" s="6"/>
    </row>
    <row r="161" spans="1:10">
      <c r="A161" s="16">
        <v>142</v>
      </c>
      <c r="B161" s="10">
        <f t="shared" si="12"/>
        <v>0</v>
      </c>
      <c r="C161" s="10">
        <f t="shared" si="13"/>
        <v>0</v>
      </c>
      <c r="D161" s="10">
        <f t="shared" si="14"/>
        <v>0</v>
      </c>
      <c r="E161" s="5">
        <f t="shared" si="15"/>
        <v>0</v>
      </c>
      <c r="F161" s="6"/>
      <c r="G161" s="6"/>
      <c r="H161" s="6"/>
      <c r="I161" s="6"/>
      <c r="J161" s="6"/>
    </row>
    <row r="162" spans="1:10">
      <c r="A162" s="16">
        <v>143</v>
      </c>
      <c r="B162" s="10">
        <f t="shared" si="12"/>
        <v>0</v>
      </c>
      <c r="C162" s="10">
        <f t="shared" si="13"/>
        <v>0</v>
      </c>
      <c r="D162" s="10">
        <f t="shared" si="14"/>
        <v>0</v>
      </c>
      <c r="E162" s="5">
        <f t="shared" si="15"/>
        <v>0</v>
      </c>
      <c r="F162" s="6"/>
      <c r="G162" s="6"/>
      <c r="H162" s="6"/>
      <c r="I162" s="6"/>
      <c r="J162" s="6"/>
    </row>
    <row r="163" spans="1:10">
      <c r="A163" s="16">
        <v>144</v>
      </c>
      <c r="B163" s="10">
        <f t="shared" si="12"/>
        <v>0</v>
      </c>
      <c r="C163" s="10">
        <f t="shared" si="13"/>
        <v>0</v>
      </c>
      <c r="D163" s="10">
        <f t="shared" si="14"/>
        <v>0</v>
      </c>
      <c r="E163" s="5">
        <f t="shared" si="15"/>
        <v>0</v>
      </c>
      <c r="F163" s="6"/>
      <c r="G163" s="6"/>
      <c r="H163" s="6"/>
      <c r="I163" s="6"/>
      <c r="J163" s="6"/>
    </row>
    <row r="164" spans="1:10">
      <c r="A164" s="16">
        <v>145</v>
      </c>
      <c r="B164" s="10">
        <f t="shared" si="12"/>
        <v>0</v>
      </c>
      <c r="C164" s="10">
        <f t="shared" si="13"/>
        <v>0</v>
      </c>
      <c r="D164" s="10">
        <f t="shared" si="14"/>
        <v>0</v>
      </c>
      <c r="E164" s="5">
        <f t="shared" si="15"/>
        <v>0</v>
      </c>
      <c r="F164" s="6"/>
      <c r="G164" s="6"/>
      <c r="H164" s="6"/>
      <c r="I164" s="6"/>
      <c r="J164" s="6"/>
    </row>
    <row r="165" spans="1:10">
      <c r="A165" s="16">
        <v>146</v>
      </c>
      <c r="B165" s="10">
        <f t="shared" si="12"/>
        <v>0</v>
      </c>
      <c r="C165" s="10">
        <f t="shared" si="13"/>
        <v>0</v>
      </c>
      <c r="D165" s="10">
        <f t="shared" si="14"/>
        <v>0</v>
      </c>
      <c r="E165" s="5">
        <f t="shared" si="15"/>
        <v>0</v>
      </c>
      <c r="F165" s="6"/>
      <c r="G165" s="6"/>
      <c r="H165" s="6"/>
      <c r="I165" s="6"/>
      <c r="J165" s="6"/>
    </row>
    <row r="166" spans="1:10">
      <c r="A166" s="16">
        <v>147</v>
      </c>
      <c r="B166" s="10">
        <f t="shared" si="12"/>
        <v>0</v>
      </c>
      <c r="C166" s="10">
        <f t="shared" si="13"/>
        <v>0</v>
      </c>
      <c r="D166" s="10">
        <f t="shared" si="14"/>
        <v>0</v>
      </c>
      <c r="E166" s="5">
        <f t="shared" si="15"/>
        <v>0</v>
      </c>
      <c r="F166" s="6"/>
      <c r="G166" s="6"/>
      <c r="H166" s="6"/>
      <c r="I166" s="6"/>
      <c r="J166" s="6"/>
    </row>
    <row r="167" spans="1:10">
      <c r="A167" s="16">
        <v>148</v>
      </c>
      <c r="B167" s="10">
        <f t="shared" si="12"/>
        <v>0</v>
      </c>
      <c r="C167" s="10">
        <f t="shared" si="13"/>
        <v>0</v>
      </c>
      <c r="D167" s="10">
        <f t="shared" si="14"/>
        <v>0</v>
      </c>
      <c r="E167" s="5">
        <f t="shared" si="15"/>
        <v>0</v>
      </c>
      <c r="F167" s="6"/>
      <c r="G167" s="6"/>
      <c r="H167" s="6"/>
      <c r="I167" s="6"/>
      <c r="J167" s="6"/>
    </row>
    <row r="168" spans="1:10">
      <c r="A168" s="16">
        <v>149</v>
      </c>
      <c r="B168" s="10">
        <f t="shared" si="12"/>
        <v>0</v>
      </c>
      <c r="C168" s="10">
        <f t="shared" si="13"/>
        <v>0</v>
      </c>
      <c r="D168" s="10">
        <f t="shared" si="14"/>
        <v>0</v>
      </c>
      <c r="E168" s="5">
        <f t="shared" si="15"/>
        <v>0</v>
      </c>
      <c r="F168" s="6"/>
      <c r="G168" s="6"/>
      <c r="H168" s="6"/>
      <c r="I168" s="6"/>
      <c r="J168" s="6"/>
    </row>
    <row r="169" spans="1:10">
      <c r="A169" s="16">
        <v>150</v>
      </c>
      <c r="B169" s="10">
        <f t="shared" si="12"/>
        <v>0</v>
      </c>
      <c r="C169" s="10">
        <f t="shared" si="13"/>
        <v>0</v>
      </c>
      <c r="D169" s="10">
        <f t="shared" si="14"/>
        <v>0</v>
      </c>
      <c r="E169" s="5">
        <f t="shared" si="15"/>
        <v>0</v>
      </c>
      <c r="F169" s="6"/>
      <c r="G169" s="6"/>
      <c r="H169" s="6"/>
      <c r="I169" s="6"/>
      <c r="J169" s="6"/>
    </row>
    <row r="170" spans="1:10">
      <c r="A170" s="16">
        <v>151</v>
      </c>
      <c r="B170" s="10">
        <f t="shared" si="12"/>
        <v>0</v>
      </c>
      <c r="C170" s="10">
        <f t="shared" si="13"/>
        <v>0</v>
      </c>
      <c r="D170" s="10">
        <f t="shared" si="14"/>
        <v>0</v>
      </c>
      <c r="E170" s="5">
        <f t="shared" si="15"/>
        <v>0</v>
      </c>
      <c r="F170" s="6"/>
      <c r="G170" s="6"/>
      <c r="H170" s="6"/>
      <c r="I170" s="6"/>
      <c r="J170" s="6"/>
    </row>
    <row r="171" spans="1:10">
      <c r="A171" s="16">
        <v>152</v>
      </c>
      <c r="B171" s="10">
        <f t="shared" si="12"/>
        <v>0</v>
      </c>
      <c r="C171" s="10">
        <f t="shared" si="13"/>
        <v>0</v>
      </c>
      <c r="D171" s="10">
        <f t="shared" si="14"/>
        <v>0</v>
      </c>
      <c r="E171" s="5">
        <f t="shared" si="15"/>
        <v>0</v>
      </c>
      <c r="F171" s="6"/>
      <c r="G171" s="6"/>
      <c r="H171" s="6"/>
      <c r="I171" s="6"/>
      <c r="J171" s="6"/>
    </row>
    <row r="172" spans="1:10">
      <c r="A172" s="16">
        <v>153</v>
      </c>
      <c r="B172" s="10">
        <f t="shared" si="12"/>
        <v>0</v>
      </c>
      <c r="C172" s="10">
        <f t="shared" si="13"/>
        <v>0</v>
      </c>
      <c r="D172" s="10">
        <f t="shared" si="14"/>
        <v>0</v>
      </c>
      <c r="E172" s="5">
        <f t="shared" si="15"/>
        <v>0</v>
      </c>
      <c r="F172" s="6"/>
      <c r="G172" s="6"/>
      <c r="H172" s="6"/>
      <c r="I172" s="6"/>
      <c r="J172" s="6"/>
    </row>
    <row r="173" spans="1:10">
      <c r="A173" s="16">
        <v>154</v>
      </c>
      <c r="B173" s="10">
        <f t="shared" si="12"/>
        <v>0</v>
      </c>
      <c r="C173" s="10">
        <f t="shared" si="13"/>
        <v>0</v>
      </c>
      <c r="D173" s="10">
        <f t="shared" si="14"/>
        <v>0</v>
      </c>
      <c r="E173" s="5">
        <f t="shared" si="15"/>
        <v>0</v>
      </c>
      <c r="F173" s="6"/>
      <c r="G173" s="6"/>
      <c r="H173" s="6"/>
      <c r="I173" s="6"/>
      <c r="J173" s="6"/>
    </row>
    <row r="174" spans="1:10">
      <c r="A174" s="16">
        <v>155</v>
      </c>
      <c r="B174" s="10">
        <f t="shared" si="12"/>
        <v>0</v>
      </c>
      <c r="C174" s="10">
        <f t="shared" si="13"/>
        <v>0</v>
      </c>
      <c r="D174" s="10">
        <f t="shared" si="14"/>
        <v>0</v>
      </c>
      <c r="E174" s="5">
        <f t="shared" si="15"/>
        <v>0</v>
      </c>
      <c r="F174" s="6"/>
      <c r="G174" s="6"/>
      <c r="H174" s="6"/>
      <c r="I174" s="6"/>
      <c r="J174" s="6"/>
    </row>
    <row r="175" spans="1:10">
      <c r="A175" s="16">
        <v>156</v>
      </c>
      <c r="B175" s="10">
        <f t="shared" si="12"/>
        <v>0</v>
      </c>
      <c r="C175" s="10">
        <f t="shared" si="13"/>
        <v>0</v>
      </c>
      <c r="D175" s="10">
        <f t="shared" si="14"/>
        <v>0</v>
      </c>
      <c r="E175" s="5">
        <f t="shared" si="15"/>
        <v>0</v>
      </c>
      <c r="F175" s="6"/>
      <c r="G175" s="6"/>
      <c r="H175" s="6"/>
      <c r="I175" s="6"/>
      <c r="J175" s="6"/>
    </row>
    <row r="176" spans="1:10">
      <c r="A176" s="16">
        <v>157</v>
      </c>
      <c r="B176" s="10">
        <f t="shared" si="12"/>
        <v>0</v>
      </c>
      <c r="C176" s="10">
        <f t="shared" si="13"/>
        <v>0</v>
      </c>
      <c r="D176" s="10">
        <f t="shared" si="14"/>
        <v>0</v>
      </c>
      <c r="E176" s="5">
        <f t="shared" si="15"/>
        <v>0</v>
      </c>
      <c r="F176" s="6"/>
      <c r="G176" s="6"/>
      <c r="H176" s="6"/>
      <c r="I176" s="6"/>
      <c r="J176" s="6"/>
    </row>
    <row r="177" spans="1:10">
      <c r="A177" s="16">
        <v>158</v>
      </c>
      <c r="B177" s="10">
        <f t="shared" si="12"/>
        <v>0</v>
      </c>
      <c r="C177" s="10">
        <f t="shared" si="13"/>
        <v>0</v>
      </c>
      <c r="D177" s="10">
        <f t="shared" si="14"/>
        <v>0</v>
      </c>
      <c r="E177" s="5">
        <f t="shared" si="15"/>
        <v>0</v>
      </c>
      <c r="F177" s="6"/>
      <c r="G177" s="6"/>
      <c r="H177" s="6"/>
      <c r="I177" s="6"/>
      <c r="J177" s="6"/>
    </row>
    <row r="178" spans="1:10">
      <c r="A178" s="16">
        <v>159</v>
      </c>
      <c r="B178" s="10">
        <f t="shared" si="12"/>
        <v>0</v>
      </c>
      <c r="C178" s="10">
        <f t="shared" si="13"/>
        <v>0</v>
      </c>
      <c r="D178" s="10">
        <f t="shared" si="14"/>
        <v>0</v>
      </c>
      <c r="E178" s="5">
        <f t="shared" si="15"/>
        <v>0</v>
      </c>
      <c r="F178" s="6"/>
      <c r="G178" s="6"/>
      <c r="H178" s="6"/>
      <c r="I178" s="6"/>
      <c r="J178" s="6"/>
    </row>
    <row r="179" spans="1:10">
      <c r="A179" s="16">
        <v>160</v>
      </c>
      <c r="B179" s="10">
        <f t="shared" si="12"/>
        <v>0</v>
      </c>
      <c r="C179" s="10">
        <f t="shared" si="13"/>
        <v>0</v>
      </c>
      <c r="D179" s="10">
        <f t="shared" si="14"/>
        <v>0</v>
      </c>
      <c r="E179" s="5">
        <f t="shared" si="15"/>
        <v>0</v>
      </c>
      <c r="F179" s="6"/>
      <c r="G179" s="6"/>
      <c r="H179" s="6"/>
      <c r="I179" s="6"/>
      <c r="J179" s="6"/>
    </row>
    <row r="180" spans="1:10">
      <c r="A180" s="16">
        <v>161</v>
      </c>
      <c r="B180" s="10">
        <f t="shared" si="12"/>
        <v>0</v>
      </c>
      <c r="C180" s="10">
        <f t="shared" si="13"/>
        <v>0</v>
      </c>
      <c r="D180" s="10">
        <f t="shared" si="14"/>
        <v>0</v>
      </c>
      <c r="E180" s="5">
        <f t="shared" si="15"/>
        <v>0</v>
      </c>
      <c r="F180" s="6"/>
      <c r="G180" s="6"/>
      <c r="H180" s="6"/>
      <c r="I180" s="6"/>
      <c r="J180" s="6"/>
    </row>
    <row r="181" spans="1:10">
      <c r="A181" s="16">
        <v>162</v>
      </c>
      <c r="B181" s="10">
        <f t="shared" si="12"/>
        <v>0</v>
      </c>
      <c r="C181" s="10">
        <f t="shared" si="13"/>
        <v>0</v>
      </c>
      <c r="D181" s="10">
        <f t="shared" si="14"/>
        <v>0</v>
      </c>
      <c r="E181" s="5">
        <f t="shared" si="15"/>
        <v>0</v>
      </c>
      <c r="F181" s="6"/>
      <c r="G181" s="6"/>
      <c r="H181" s="6"/>
      <c r="I181" s="6"/>
      <c r="J181" s="6"/>
    </row>
    <row r="182" spans="1:10">
      <c r="A182" s="16">
        <v>163</v>
      </c>
      <c r="B182" s="10">
        <f t="shared" si="12"/>
        <v>0</v>
      </c>
      <c r="C182" s="10">
        <f t="shared" si="13"/>
        <v>0</v>
      </c>
      <c r="D182" s="10">
        <f t="shared" si="14"/>
        <v>0</v>
      </c>
      <c r="E182" s="5">
        <f t="shared" si="15"/>
        <v>0</v>
      </c>
      <c r="F182" s="6"/>
      <c r="G182" s="6"/>
      <c r="H182" s="6"/>
      <c r="I182" s="6"/>
      <c r="J182" s="6"/>
    </row>
    <row r="183" spans="1:10">
      <c r="A183" s="16">
        <v>164</v>
      </c>
      <c r="B183" s="10">
        <f t="shared" si="12"/>
        <v>0</v>
      </c>
      <c r="C183" s="10">
        <f t="shared" si="13"/>
        <v>0</v>
      </c>
      <c r="D183" s="10">
        <f t="shared" si="14"/>
        <v>0</v>
      </c>
      <c r="E183" s="5">
        <f t="shared" si="15"/>
        <v>0</v>
      </c>
      <c r="F183" s="6"/>
      <c r="G183" s="6"/>
      <c r="H183" s="6"/>
      <c r="I183" s="6"/>
      <c r="J183" s="6"/>
    </row>
    <row r="184" spans="1:10">
      <c r="A184" s="16">
        <v>165</v>
      </c>
      <c r="B184" s="10">
        <f t="shared" si="12"/>
        <v>0</v>
      </c>
      <c r="C184" s="10">
        <f t="shared" si="13"/>
        <v>0</v>
      </c>
      <c r="D184" s="10">
        <f t="shared" si="14"/>
        <v>0</v>
      </c>
      <c r="E184" s="5">
        <f t="shared" si="15"/>
        <v>0</v>
      </c>
      <c r="F184" s="6"/>
      <c r="G184" s="6"/>
      <c r="H184" s="6"/>
      <c r="I184" s="6"/>
      <c r="J184" s="6"/>
    </row>
    <row r="185" spans="1:10">
      <c r="A185" s="16">
        <v>166</v>
      </c>
      <c r="B185" s="10">
        <f t="shared" si="12"/>
        <v>0</v>
      </c>
      <c r="C185" s="10">
        <f t="shared" si="13"/>
        <v>0</v>
      </c>
      <c r="D185" s="10">
        <f t="shared" si="14"/>
        <v>0</v>
      </c>
      <c r="E185" s="5">
        <f t="shared" si="15"/>
        <v>0</v>
      </c>
      <c r="F185" s="6"/>
      <c r="G185" s="6"/>
      <c r="H185" s="6"/>
      <c r="I185" s="6"/>
      <c r="J185" s="6"/>
    </row>
    <row r="186" spans="1:10">
      <c r="A186" s="16">
        <v>167</v>
      </c>
      <c r="B186" s="10">
        <f t="shared" si="12"/>
        <v>0</v>
      </c>
      <c r="C186" s="10">
        <f t="shared" si="13"/>
        <v>0</v>
      </c>
      <c r="D186" s="10">
        <f t="shared" si="14"/>
        <v>0</v>
      </c>
      <c r="E186" s="5">
        <f t="shared" si="15"/>
        <v>0</v>
      </c>
      <c r="F186" s="6"/>
      <c r="G186" s="6"/>
      <c r="H186" s="6"/>
      <c r="I186" s="6"/>
      <c r="J186" s="6"/>
    </row>
    <row r="187" spans="1:10">
      <c r="A187" s="16">
        <v>168</v>
      </c>
      <c r="B187" s="10">
        <f t="shared" si="12"/>
        <v>0</v>
      </c>
      <c r="C187" s="10">
        <f t="shared" si="13"/>
        <v>0</v>
      </c>
      <c r="D187" s="10">
        <f t="shared" si="14"/>
        <v>0</v>
      </c>
      <c r="E187" s="5">
        <f t="shared" si="15"/>
        <v>0</v>
      </c>
      <c r="F187" s="6"/>
      <c r="G187" s="6"/>
      <c r="H187" s="6"/>
      <c r="I187" s="6"/>
      <c r="J187" s="6"/>
    </row>
    <row r="188" spans="1:10">
      <c r="A188" s="16">
        <v>169</v>
      </c>
      <c r="B188" s="10">
        <f t="shared" si="12"/>
        <v>0</v>
      </c>
      <c r="C188" s="10">
        <f t="shared" si="13"/>
        <v>0</v>
      </c>
      <c r="D188" s="10">
        <f t="shared" si="14"/>
        <v>0</v>
      </c>
      <c r="E188" s="5">
        <f t="shared" si="15"/>
        <v>0</v>
      </c>
      <c r="F188" s="6"/>
      <c r="G188" s="6"/>
      <c r="H188" s="6"/>
      <c r="I188" s="6"/>
      <c r="J188" s="6"/>
    </row>
    <row r="189" spans="1:10">
      <c r="A189" s="16">
        <v>170</v>
      </c>
      <c r="B189" s="10">
        <f t="shared" si="12"/>
        <v>0</v>
      </c>
      <c r="C189" s="10">
        <f t="shared" si="13"/>
        <v>0</v>
      </c>
      <c r="D189" s="10">
        <f t="shared" si="14"/>
        <v>0</v>
      </c>
      <c r="E189" s="5">
        <f t="shared" si="15"/>
        <v>0</v>
      </c>
      <c r="F189" s="6"/>
      <c r="G189" s="6"/>
      <c r="H189" s="6"/>
      <c r="I189" s="6"/>
      <c r="J189" s="6"/>
    </row>
    <row r="190" spans="1:10">
      <c r="A190" s="16">
        <v>171</v>
      </c>
      <c r="B190" s="10">
        <f t="shared" si="12"/>
        <v>0</v>
      </c>
      <c r="C190" s="10">
        <f t="shared" si="13"/>
        <v>0</v>
      </c>
      <c r="D190" s="10">
        <f t="shared" si="14"/>
        <v>0</v>
      </c>
      <c r="E190" s="5">
        <f t="shared" si="15"/>
        <v>0</v>
      </c>
      <c r="F190" s="6"/>
      <c r="G190" s="6"/>
      <c r="H190" s="6"/>
      <c r="I190" s="6"/>
      <c r="J190" s="6"/>
    </row>
    <row r="191" spans="1:10">
      <c r="A191" s="16">
        <v>172</v>
      </c>
      <c r="B191" s="10">
        <f t="shared" si="12"/>
        <v>0</v>
      </c>
      <c r="C191" s="10">
        <f t="shared" si="13"/>
        <v>0</v>
      </c>
      <c r="D191" s="10">
        <f t="shared" si="14"/>
        <v>0</v>
      </c>
      <c r="E191" s="5">
        <f t="shared" si="15"/>
        <v>0</v>
      </c>
      <c r="F191" s="6"/>
      <c r="G191" s="6"/>
      <c r="H191" s="6"/>
      <c r="I191" s="6"/>
      <c r="J191" s="6"/>
    </row>
    <row r="192" spans="1:10">
      <c r="A192" s="16">
        <v>173</v>
      </c>
      <c r="B192" s="10">
        <f t="shared" si="12"/>
        <v>0</v>
      </c>
      <c r="C192" s="10">
        <f t="shared" si="13"/>
        <v>0</v>
      </c>
      <c r="D192" s="10">
        <f t="shared" si="14"/>
        <v>0</v>
      </c>
      <c r="E192" s="5">
        <f t="shared" si="15"/>
        <v>0</v>
      </c>
      <c r="F192" s="6"/>
      <c r="G192" s="6"/>
      <c r="H192" s="6"/>
      <c r="I192" s="6"/>
      <c r="J192" s="6"/>
    </row>
    <row r="193" spans="1:10">
      <c r="A193" s="16">
        <v>174</v>
      </c>
      <c r="B193" s="10">
        <f t="shared" si="12"/>
        <v>0</v>
      </c>
      <c r="C193" s="10">
        <f t="shared" si="13"/>
        <v>0</v>
      </c>
      <c r="D193" s="10">
        <f t="shared" si="14"/>
        <v>0</v>
      </c>
      <c r="E193" s="5">
        <f t="shared" si="15"/>
        <v>0</v>
      </c>
      <c r="F193" s="6"/>
      <c r="G193" s="6"/>
      <c r="H193" s="6"/>
      <c r="I193" s="6"/>
      <c r="J193" s="6"/>
    </row>
    <row r="194" spans="1:10">
      <c r="A194" s="16">
        <v>175</v>
      </c>
      <c r="B194" s="10">
        <f t="shared" si="12"/>
        <v>0</v>
      </c>
      <c r="C194" s="10">
        <f t="shared" si="13"/>
        <v>0</v>
      </c>
      <c r="D194" s="10">
        <f t="shared" si="14"/>
        <v>0</v>
      </c>
      <c r="E194" s="5">
        <f t="shared" si="15"/>
        <v>0</v>
      </c>
      <c r="F194" s="6"/>
      <c r="G194" s="6"/>
      <c r="H194" s="6"/>
      <c r="I194" s="6"/>
      <c r="J194" s="6"/>
    </row>
    <row r="195" spans="1:10">
      <c r="A195" s="16">
        <v>176</v>
      </c>
      <c r="B195" s="10">
        <f t="shared" si="12"/>
        <v>0</v>
      </c>
      <c r="C195" s="10">
        <f t="shared" si="13"/>
        <v>0</v>
      </c>
      <c r="D195" s="10">
        <f t="shared" si="14"/>
        <v>0</v>
      </c>
      <c r="E195" s="5">
        <f t="shared" si="15"/>
        <v>0</v>
      </c>
      <c r="F195" s="6"/>
      <c r="G195" s="6"/>
      <c r="H195" s="6"/>
      <c r="I195" s="6"/>
      <c r="J195" s="6"/>
    </row>
    <row r="196" spans="1:10">
      <c r="A196" s="16">
        <v>177</v>
      </c>
      <c r="B196" s="10">
        <f t="shared" si="12"/>
        <v>0</v>
      </c>
      <c r="C196" s="10">
        <f t="shared" si="13"/>
        <v>0</v>
      </c>
      <c r="D196" s="10">
        <f t="shared" si="14"/>
        <v>0</v>
      </c>
      <c r="E196" s="5">
        <f t="shared" si="15"/>
        <v>0</v>
      </c>
      <c r="F196" s="6"/>
      <c r="G196" s="6"/>
      <c r="H196" s="6"/>
      <c r="I196" s="6"/>
      <c r="J196" s="6"/>
    </row>
    <row r="197" spans="1:10">
      <c r="A197" s="16">
        <v>178</v>
      </c>
      <c r="B197" s="10">
        <f t="shared" si="12"/>
        <v>0</v>
      </c>
      <c r="C197" s="10">
        <f t="shared" si="13"/>
        <v>0</v>
      </c>
      <c r="D197" s="10">
        <f t="shared" si="14"/>
        <v>0</v>
      </c>
      <c r="E197" s="5">
        <f t="shared" si="15"/>
        <v>0</v>
      </c>
      <c r="F197" s="6"/>
      <c r="G197" s="6"/>
      <c r="H197" s="6"/>
      <c r="I197" s="6"/>
      <c r="J197" s="6"/>
    </row>
    <row r="198" spans="1:10">
      <c r="A198" s="16">
        <v>179</v>
      </c>
      <c r="B198" s="10">
        <f t="shared" si="12"/>
        <v>0</v>
      </c>
      <c r="C198" s="10">
        <f t="shared" si="13"/>
        <v>0</v>
      </c>
      <c r="D198" s="10">
        <f t="shared" si="14"/>
        <v>0</v>
      </c>
      <c r="E198" s="5">
        <f t="shared" si="15"/>
        <v>0</v>
      </c>
      <c r="F198" s="6"/>
      <c r="G198" s="6"/>
      <c r="H198" s="6"/>
      <c r="I198" s="6"/>
      <c r="J198" s="6"/>
    </row>
    <row r="199" spans="1:10">
      <c r="A199" s="16">
        <v>180</v>
      </c>
      <c r="B199" s="10">
        <f t="shared" si="12"/>
        <v>0</v>
      </c>
      <c r="C199" s="10">
        <f t="shared" si="13"/>
        <v>0</v>
      </c>
      <c r="D199" s="10">
        <f t="shared" si="14"/>
        <v>0</v>
      </c>
      <c r="E199" s="5">
        <f t="shared" si="15"/>
        <v>0</v>
      </c>
      <c r="F199" s="6"/>
      <c r="G199" s="6"/>
      <c r="H199" s="6"/>
      <c r="I199" s="6"/>
      <c r="J199" s="6"/>
    </row>
    <row r="200" spans="1:10">
      <c r="A200" s="16">
        <v>181</v>
      </c>
      <c r="B200" s="10">
        <f t="shared" si="12"/>
        <v>0</v>
      </c>
      <c r="C200" s="10">
        <f t="shared" si="13"/>
        <v>0</v>
      </c>
      <c r="D200" s="10">
        <f t="shared" si="14"/>
        <v>0</v>
      </c>
      <c r="E200" s="5">
        <f t="shared" si="15"/>
        <v>0</v>
      </c>
      <c r="F200" s="6"/>
      <c r="G200" s="6"/>
      <c r="H200" s="6"/>
      <c r="I200" s="6"/>
      <c r="J200" s="6"/>
    </row>
    <row r="201" spans="1:10">
      <c r="A201" s="16">
        <v>182</v>
      </c>
      <c r="B201" s="10">
        <f t="shared" si="12"/>
        <v>0</v>
      </c>
      <c r="C201" s="10">
        <f t="shared" si="13"/>
        <v>0</v>
      </c>
      <c r="D201" s="10">
        <f t="shared" si="14"/>
        <v>0</v>
      </c>
      <c r="E201" s="5">
        <f t="shared" si="15"/>
        <v>0</v>
      </c>
      <c r="F201" s="6"/>
      <c r="G201" s="6"/>
      <c r="H201" s="6"/>
      <c r="I201" s="6"/>
      <c r="J201" s="6"/>
    </row>
    <row r="202" spans="1:10">
      <c r="A202" s="16">
        <v>183</v>
      </c>
      <c r="B202" s="10">
        <f t="shared" si="12"/>
        <v>0</v>
      </c>
      <c r="C202" s="10">
        <f t="shared" si="13"/>
        <v>0</v>
      </c>
      <c r="D202" s="10">
        <f t="shared" si="14"/>
        <v>0</v>
      </c>
      <c r="E202" s="5">
        <f t="shared" si="15"/>
        <v>0</v>
      </c>
      <c r="F202" s="6"/>
      <c r="G202" s="6"/>
      <c r="H202" s="6"/>
      <c r="I202" s="6"/>
      <c r="J202" s="6"/>
    </row>
    <row r="203" spans="1:10">
      <c r="A203" s="16">
        <v>184</v>
      </c>
      <c r="B203" s="10">
        <f t="shared" si="12"/>
        <v>0</v>
      </c>
      <c r="C203" s="10">
        <f t="shared" si="13"/>
        <v>0</v>
      </c>
      <c r="D203" s="10">
        <f t="shared" si="14"/>
        <v>0</v>
      </c>
      <c r="E203" s="5">
        <f t="shared" si="15"/>
        <v>0</v>
      </c>
      <c r="F203" s="6"/>
      <c r="G203" s="6"/>
      <c r="H203" s="6"/>
      <c r="I203" s="6"/>
      <c r="J203" s="6"/>
    </row>
    <row r="204" spans="1:10">
      <c r="A204" s="16">
        <v>185</v>
      </c>
      <c r="B204" s="10">
        <f t="shared" si="12"/>
        <v>0</v>
      </c>
      <c r="C204" s="10">
        <f t="shared" si="13"/>
        <v>0</v>
      </c>
      <c r="D204" s="10">
        <f t="shared" si="14"/>
        <v>0</v>
      </c>
      <c r="E204" s="5">
        <f t="shared" si="15"/>
        <v>0</v>
      </c>
      <c r="F204" s="6"/>
      <c r="G204" s="6"/>
      <c r="H204" s="6"/>
      <c r="I204" s="6"/>
      <c r="J204" s="6"/>
    </row>
    <row r="205" spans="1:10">
      <c r="A205" s="16">
        <v>186</v>
      </c>
      <c r="B205" s="10">
        <f t="shared" si="12"/>
        <v>0</v>
      </c>
      <c r="C205" s="10">
        <f t="shared" si="13"/>
        <v>0</v>
      </c>
      <c r="D205" s="10">
        <f t="shared" si="14"/>
        <v>0</v>
      </c>
      <c r="E205" s="5">
        <f t="shared" si="15"/>
        <v>0</v>
      </c>
      <c r="F205" s="6"/>
      <c r="G205" s="6"/>
      <c r="H205" s="6"/>
      <c r="I205" s="6"/>
      <c r="J205" s="6"/>
    </row>
    <row r="206" spans="1:10">
      <c r="A206" s="16">
        <v>187</v>
      </c>
      <c r="B206" s="10">
        <f t="shared" si="12"/>
        <v>0</v>
      </c>
      <c r="C206" s="10">
        <f t="shared" si="13"/>
        <v>0</v>
      </c>
      <c r="D206" s="10">
        <f t="shared" si="14"/>
        <v>0</v>
      </c>
      <c r="E206" s="5">
        <f t="shared" si="15"/>
        <v>0</v>
      </c>
      <c r="F206" s="6"/>
      <c r="G206" s="6"/>
      <c r="H206" s="6"/>
      <c r="I206" s="6"/>
      <c r="J206" s="6"/>
    </row>
    <row r="207" spans="1:10">
      <c r="A207" s="16">
        <v>188</v>
      </c>
      <c r="B207" s="10">
        <f t="shared" si="12"/>
        <v>0</v>
      </c>
      <c r="C207" s="10">
        <f t="shared" si="13"/>
        <v>0</v>
      </c>
      <c r="D207" s="10">
        <f t="shared" si="14"/>
        <v>0</v>
      </c>
      <c r="E207" s="5">
        <f t="shared" si="15"/>
        <v>0</v>
      </c>
      <c r="F207" s="6"/>
      <c r="G207" s="6"/>
      <c r="H207" s="6"/>
      <c r="I207" s="6"/>
      <c r="J207" s="6"/>
    </row>
    <row r="208" spans="1:10">
      <c r="A208" s="16">
        <v>189</v>
      </c>
      <c r="B208" s="10">
        <f t="shared" si="12"/>
        <v>0</v>
      </c>
      <c r="C208" s="10">
        <f t="shared" si="13"/>
        <v>0</v>
      </c>
      <c r="D208" s="10">
        <f t="shared" si="14"/>
        <v>0</v>
      </c>
      <c r="E208" s="5">
        <f t="shared" si="15"/>
        <v>0</v>
      </c>
      <c r="F208" s="6"/>
      <c r="G208" s="6"/>
      <c r="H208" s="6"/>
      <c r="I208" s="6"/>
      <c r="J208" s="6"/>
    </row>
    <row r="209" spans="1:10">
      <c r="A209" s="16">
        <v>190</v>
      </c>
      <c r="B209" s="10">
        <f t="shared" si="12"/>
        <v>0</v>
      </c>
      <c r="C209" s="10">
        <f t="shared" si="13"/>
        <v>0</v>
      </c>
      <c r="D209" s="10">
        <f t="shared" si="14"/>
        <v>0</v>
      </c>
      <c r="E209" s="5">
        <f t="shared" si="15"/>
        <v>0</v>
      </c>
      <c r="F209" s="6"/>
      <c r="G209" s="6"/>
      <c r="H209" s="6"/>
      <c r="I209" s="6"/>
      <c r="J209" s="6"/>
    </row>
    <row r="210" spans="1:10">
      <c r="A210" s="16">
        <v>191</v>
      </c>
      <c r="B210" s="10">
        <f t="shared" si="12"/>
        <v>0</v>
      </c>
      <c r="C210" s="10">
        <f t="shared" si="13"/>
        <v>0</v>
      </c>
      <c r="D210" s="10">
        <f t="shared" si="14"/>
        <v>0</v>
      </c>
      <c r="E210" s="5">
        <f t="shared" si="15"/>
        <v>0</v>
      </c>
      <c r="F210" s="6"/>
      <c r="G210" s="6"/>
      <c r="H210" s="6"/>
      <c r="I210" s="6"/>
      <c r="J210" s="6"/>
    </row>
    <row r="211" spans="1:10">
      <c r="A211" s="16">
        <v>192</v>
      </c>
      <c r="B211" s="10">
        <f t="shared" si="12"/>
        <v>0</v>
      </c>
      <c r="C211" s="10">
        <f t="shared" si="13"/>
        <v>0</v>
      </c>
      <c r="D211" s="10">
        <f t="shared" si="14"/>
        <v>0</v>
      </c>
      <c r="E211" s="5">
        <f t="shared" si="15"/>
        <v>0</v>
      </c>
      <c r="F211" s="6"/>
      <c r="G211" s="6"/>
      <c r="H211" s="6"/>
      <c r="I211" s="6"/>
      <c r="J211" s="6"/>
    </row>
    <row r="212" spans="1:10">
      <c r="A212" s="16">
        <v>193</v>
      </c>
      <c r="B212" s="10">
        <f t="shared" ref="B212:B275" si="16">IF(A212&lt;=$D$5*12,B211-D212,0)</f>
        <v>0</v>
      </c>
      <c r="C212" s="10">
        <f t="shared" ref="C212:C275" si="17">IF(A212&lt;=$D$5*12,B211*$D$6/12,0)</f>
        <v>0</v>
      </c>
      <c r="D212" s="10">
        <f t="shared" si="14"/>
        <v>0</v>
      </c>
      <c r="E212" s="5">
        <f t="shared" si="15"/>
        <v>0</v>
      </c>
      <c r="F212" s="6"/>
      <c r="G212" s="6"/>
      <c r="H212" s="6"/>
      <c r="I212" s="6"/>
      <c r="J212" s="6"/>
    </row>
    <row r="213" spans="1:10">
      <c r="A213" s="16">
        <v>194</v>
      </c>
      <c r="B213" s="10">
        <f t="shared" si="16"/>
        <v>0</v>
      </c>
      <c r="C213" s="10">
        <f t="shared" si="17"/>
        <v>0</v>
      </c>
      <c r="D213" s="10">
        <f t="shared" ref="D213:D276" si="18">IF($D$3="Annuitätendarlehen",IF(A213&lt;=$D$5*12,E213-C213,0),IF($D$3="Ratendarlehen",IF(AND(A213&lt;=$D$5*12,A213&gt;$D$7),$D$4/($D$5*12-$D$7),0),IF($D$3="Restwertdarlehen",IF(A213=$D$5*12,$D$4,0),0)))</f>
        <v>0</v>
      </c>
      <c r="E213" s="5">
        <f t="shared" ref="E213:E276" si="19">IF($D$3="Annuitätendarlehen",IF(AND(A213&lt;=$D$5*12,A213&gt;$D$7),PMT($D$6/12,$D$5*12-$D$7,-$D$4,$D$8,0),IF(A213&lt;=$D$7,C213,0)),IF($D$3="Ratendarlehen",IF(AND(A213&lt;=$D$5*12,A213&gt;$D$7),$D$4/($D$5*12-$D$7)+C213,IF(A213&lt;=$D$7,C213,0)),IF(AND($D$3="Restwertdarlehen",A213&lt;=$D$5*12),C213+D213,0)))</f>
        <v>0</v>
      </c>
      <c r="F213" s="6"/>
      <c r="G213" s="6"/>
      <c r="H213" s="6"/>
      <c r="I213" s="6"/>
      <c r="J213" s="6"/>
    </row>
    <row r="214" spans="1:10">
      <c r="A214" s="16">
        <v>195</v>
      </c>
      <c r="B214" s="10">
        <f t="shared" si="16"/>
        <v>0</v>
      </c>
      <c r="C214" s="10">
        <f t="shared" si="17"/>
        <v>0</v>
      </c>
      <c r="D214" s="10">
        <f t="shared" si="18"/>
        <v>0</v>
      </c>
      <c r="E214" s="5">
        <f t="shared" si="19"/>
        <v>0</v>
      </c>
      <c r="F214" s="6"/>
      <c r="G214" s="6"/>
      <c r="H214" s="6"/>
      <c r="I214" s="6"/>
      <c r="J214" s="6"/>
    </row>
    <row r="215" spans="1:10">
      <c r="A215" s="16">
        <v>196</v>
      </c>
      <c r="B215" s="10">
        <f t="shared" si="16"/>
        <v>0</v>
      </c>
      <c r="C215" s="10">
        <f t="shared" si="17"/>
        <v>0</v>
      </c>
      <c r="D215" s="10">
        <f t="shared" si="18"/>
        <v>0</v>
      </c>
      <c r="E215" s="5">
        <f t="shared" si="19"/>
        <v>0</v>
      </c>
      <c r="F215" s="6"/>
      <c r="G215" s="6"/>
      <c r="H215" s="6"/>
      <c r="I215" s="6"/>
      <c r="J215" s="6"/>
    </row>
    <row r="216" spans="1:10">
      <c r="A216" s="16">
        <v>197</v>
      </c>
      <c r="B216" s="10">
        <f t="shared" si="16"/>
        <v>0</v>
      </c>
      <c r="C216" s="10">
        <f t="shared" si="17"/>
        <v>0</v>
      </c>
      <c r="D216" s="10">
        <f t="shared" si="18"/>
        <v>0</v>
      </c>
      <c r="E216" s="5">
        <f t="shared" si="19"/>
        <v>0</v>
      </c>
      <c r="F216" s="6"/>
      <c r="G216" s="6"/>
      <c r="H216" s="6"/>
      <c r="I216" s="6"/>
      <c r="J216" s="6"/>
    </row>
    <row r="217" spans="1:10">
      <c r="A217" s="16">
        <v>198</v>
      </c>
      <c r="B217" s="10">
        <f t="shared" si="16"/>
        <v>0</v>
      </c>
      <c r="C217" s="10">
        <f t="shared" si="17"/>
        <v>0</v>
      </c>
      <c r="D217" s="10">
        <f t="shared" si="18"/>
        <v>0</v>
      </c>
      <c r="E217" s="5">
        <f t="shared" si="19"/>
        <v>0</v>
      </c>
      <c r="F217" s="6"/>
      <c r="G217" s="6"/>
      <c r="H217" s="6"/>
      <c r="I217" s="6"/>
      <c r="J217" s="6"/>
    </row>
    <row r="218" spans="1:10">
      <c r="A218" s="16">
        <v>199</v>
      </c>
      <c r="B218" s="10">
        <f t="shared" si="16"/>
        <v>0</v>
      </c>
      <c r="C218" s="10">
        <f t="shared" si="17"/>
        <v>0</v>
      </c>
      <c r="D218" s="10">
        <f t="shared" si="18"/>
        <v>0</v>
      </c>
      <c r="E218" s="5">
        <f t="shared" si="19"/>
        <v>0</v>
      </c>
      <c r="F218" s="6"/>
      <c r="G218" s="6"/>
      <c r="H218" s="6"/>
      <c r="I218" s="6"/>
      <c r="J218" s="6"/>
    </row>
    <row r="219" spans="1:10">
      <c r="A219" s="16">
        <v>200</v>
      </c>
      <c r="B219" s="10">
        <f t="shared" si="16"/>
        <v>0</v>
      </c>
      <c r="C219" s="10">
        <f t="shared" si="17"/>
        <v>0</v>
      </c>
      <c r="D219" s="10">
        <f t="shared" si="18"/>
        <v>0</v>
      </c>
      <c r="E219" s="5">
        <f t="shared" si="19"/>
        <v>0</v>
      </c>
      <c r="F219" s="6"/>
      <c r="G219" s="6"/>
      <c r="H219" s="6"/>
      <c r="I219" s="6"/>
      <c r="J219" s="6"/>
    </row>
    <row r="220" spans="1:10">
      <c r="A220" s="16">
        <v>201</v>
      </c>
      <c r="B220" s="10">
        <f t="shared" si="16"/>
        <v>0</v>
      </c>
      <c r="C220" s="10">
        <f t="shared" si="17"/>
        <v>0</v>
      </c>
      <c r="D220" s="10">
        <f t="shared" si="18"/>
        <v>0</v>
      </c>
      <c r="E220" s="5">
        <f t="shared" si="19"/>
        <v>0</v>
      </c>
      <c r="F220" s="6"/>
      <c r="G220" s="6"/>
      <c r="H220" s="6"/>
      <c r="I220" s="6"/>
      <c r="J220" s="6"/>
    </row>
    <row r="221" spans="1:10">
      <c r="A221" s="16">
        <v>202</v>
      </c>
      <c r="B221" s="10">
        <f t="shared" si="16"/>
        <v>0</v>
      </c>
      <c r="C221" s="10">
        <f t="shared" si="17"/>
        <v>0</v>
      </c>
      <c r="D221" s="10">
        <f t="shared" si="18"/>
        <v>0</v>
      </c>
      <c r="E221" s="5">
        <f t="shared" si="19"/>
        <v>0</v>
      </c>
      <c r="F221" s="6"/>
      <c r="G221" s="6"/>
      <c r="H221" s="6"/>
      <c r="I221" s="6"/>
      <c r="J221" s="6"/>
    </row>
    <row r="222" spans="1:10">
      <c r="A222" s="16">
        <v>203</v>
      </c>
      <c r="B222" s="10">
        <f t="shared" si="16"/>
        <v>0</v>
      </c>
      <c r="C222" s="10">
        <f t="shared" si="17"/>
        <v>0</v>
      </c>
      <c r="D222" s="10">
        <f t="shared" si="18"/>
        <v>0</v>
      </c>
      <c r="E222" s="5">
        <f t="shared" si="19"/>
        <v>0</v>
      </c>
      <c r="F222" s="6"/>
      <c r="G222" s="6"/>
      <c r="H222" s="6"/>
      <c r="I222" s="6"/>
      <c r="J222" s="6"/>
    </row>
    <row r="223" spans="1:10">
      <c r="A223" s="16">
        <v>204</v>
      </c>
      <c r="B223" s="10">
        <f t="shared" si="16"/>
        <v>0</v>
      </c>
      <c r="C223" s="10">
        <f t="shared" si="17"/>
        <v>0</v>
      </c>
      <c r="D223" s="10">
        <f t="shared" si="18"/>
        <v>0</v>
      </c>
      <c r="E223" s="5">
        <f t="shared" si="19"/>
        <v>0</v>
      </c>
      <c r="F223" s="6"/>
      <c r="G223" s="6"/>
      <c r="H223" s="6"/>
      <c r="I223" s="6"/>
      <c r="J223" s="6"/>
    </row>
    <row r="224" spans="1:10">
      <c r="A224" s="16">
        <v>205</v>
      </c>
      <c r="B224" s="10">
        <f t="shared" si="16"/>
        <v>0</v>
      </c>
      <c r="C224" s="10">
        <f t="shared" si="17"/>
        <v>0</v>
      </c>
      <c r="D224" s="10">
        <f t="shared" si="18"/>
        <v>0</v>
      </c>
      <c r="E224" s="5">
        <f t="shared" si="19"/>
        <v>0</v>
      </c>
      <c r="F224" s="6"/>
      <c r="G224" s="6"/>
      <c r="H224" s="6"/>
      <c r="I224" s="6"/>
      <c r="J224" s="6"/>
    </row>
    <row r="225" spans="1:10">
      <c r="A225" s="16">
        <v>206</v>
      </c>
      <c r="B225" s="10">
        <f t="shared" si="16"/>
        <v>0</v>
      </c>
      <c r="C225" s="10">
        <f t="shared" si="17"/>
        <v>0</v>
      </c>
      <c r="D225" s="10">
        <f t="shared" si="18"/>
        <v>0</v>
      </c>
      <c r="E225" s="5">
        <f t="shared" si="19"/>
        <v>0</v>
      </c>
      <c r="F225" s="6"/>
      <c r="G225" s="6"/>
      <c r="H225" s="6"/>
      <c r="I225" s="6"/>
      <c r="J225" s="6"/>
    </row>
    <row r="226" spans="1:10">
      <c r="A226" s="16">
        <v>207</v>
      </c>
      <c r="B226" s="10">
        <f t="shared" si="16"/>
        <v>0</v>
      </c>
      <c r="C226" s="10">
        <f t="shared" si="17"/>
        <v>0</v>
      </c>
      <c r="D226" s="10">
        <f t="shared" si="18"/>
        <v>0</v>
      </c>
      <c r="E226" s="5">
        <f t="shared" si="19"/>
        <v>0</v>
      </c>
      <c r="F226" s="6"/>
      <c r="G226" s="6"/>
      <c r="H226" s="6"/>
      <c r="I226" s="6"/>
      <c r="J226" s="6"/>
    </row>
    <row r="227" spans="1:10">
      <c r="A227" s="16">
        <v>208</v>
      </c>
      <c r="B227" s="10">
        <f t="shared" si="16"/>
        <v>0</v>
      </c>
      <c r="C227" s="10">
        <f t="shared" si="17"/>
        <v>0</v>
      </c>
      <c r="D227" s="10">
        <f t="shared" si="18"/>
        <v>0</v>
      </c>
      <c r="E227" s="5">
        <f t="shared" si="19"/>
        <v>0</v>
      </c>
      <c r="F227" s="6"/>
      <c r="G227" s="6"/>
      <c r="H227" s="6"/>
      <c r="I227" s="6"/>
      <c r="J227" s="6"/>
    </row>
    <row r="228" spans="1:10">
      <c r="A228" s="16">
        <v>209</v>
      </c>
      <c r="B228" s="10">
        <f t="shared" si="16"/>
        <v>0</v>
      </c>
      <c r="C228" s="10">
        <f t="shared" si="17"/>
        <v>0</v>
      </c>
      <c r="D228" s="10">
        <f t="shared" si="18"/>
        <v>0</v>
      </c>
      <c r="E228" s="5">
        <f t="shared" si="19"/>
        <v>0</v>
      </c>
      <c r="F228" s="6"/>
      <c r="G228" s="6"/>
      <c r="H228" s="6"/>
      <c r="I228" s="6"/>
      <c r="J228" s="6"/>
    </row>
    <row r="229" spans="1:10">
      <c r="A229" s="16">
        <v>210</v>
      </c>
      <c r="B229" s="10">
        <f t="shared" si="16"/>
        <v>0</v>
      </c>
      <c r="C229" s="10">
        <f t="shared" si="17"/>
        <v>0</v>
      </c>
      <c r="D229" s="10">
        <f t="shared" si="18"/>
        <v>0</v>
      </c>
      <c r="E229" s="5">
        <f t="shared" si="19"/>
        <v>0</v>
      </c>
      <c r="F229" s="6"/>
      <c r="G229" s="6"/>
      <c r="H229" s="6"/>
      <c r="I229" s="6"/>
      <c r="J229" s="6"/>
    </row>
    <row r="230" spans="1:10">
      <c r="A230" s="16">
        <v>211</v>
      </c>
      <c r="B230" s="10">
        <f t="shared" si="16"/>
        <v>0</v>
      </c>
      <c r="C230" s="10">
        <f t="shared" si="17"/>
        <v>0</v>
      </c>
      <c r="D230" s="10">
        <f t="shared" si="18"/>
        <v>0</v>
      </c>
      <c r="E230" s="5">
        <f t="shared" si="19"/>
        <v>0</v>
      </c>
      <c r="F230" s="6"/>
      <c r="G230" s="6"/>
      <c r="H230" s="6"/>
      <c r="I230" s="6"/>
      <c r="J230" s="6"/>
    </row>
    <row r="231" spans="1:10">
      <c r="A231" s="16">
        <v>212</v>
      </c>
      <c r="B231" s="10">
        <f t="shared" si="16"/>
        <v>0</v>
      </c>
      <c r="C231" s="10">
        <f t="shared" si="17"/>
        <v>0</v>
      </c>
      <c r="D231" s="10">
        <f t="shared" si="18"/>
        <v>0</v>
      </c>
      <c r="E231" s="5">
        <f t="shared" si="19"/>
        <v>0</v>
      </c>
      <c r="F231" s="6"/>
      <c r="G231" s="6"/>
      <c r="H231" s="6"/>
      <c r="I231" s="6"/>
      <c r="J231" s="6"/>
    </row>
    <row r="232" spans="1:10">
      <c r="A232" s="16">
        <v>213</v>
      </c>
      <c r="B232" s="10">
        <f t="shared" si="16"/>
        <v>0</v>
      </c>
      <c r="C232" s="10">
        <f t="shared" si="17"/>
        <v>0</v>
      </c>
      <c r="D232" s="10">
        <f t="shared" si="18"/>
        <v>0</v>
      </c>
      <c r="E232" s="5">
        <f t="shared" si="19"/>
        <v>0</v>
      </c>
      <c r="F232" s="6"/>
      <c r="G232" s="6"/>
      <c r="H232" s="6"/>
      <c r="I232" s="6"/>
      <c r="J232" s="6"/>
    </row>
    <row r="233" spans="1:10">
      <c r="A233" s="16">
        <v>214</v>
      </c>
      <c r="B233" s="10">
        <f t="shared" si="16"/>
        <v>0</v>
      </c>
      <c r="C233" s="10">
        <f t="shared" si="17"/>
        <v>0</v>
      </c>
      <c r="D233" s="10">
        <f t="shared" si="18"/>
        <v>0</v>
      </c>
      <c r="E233" s="5">
        <f t="shared" si="19"/>
        <v>0</v>
      </c>
      <c r="F233" s="6"/>
      <c r="G233" s="6"/>
      <c r="H233" s="6"/>
      <c r="I233" s="6"/>
      <c r="J233" s="6"/>
    </row>
    <row r="234" spans="1:10">
      <c r="A234" s="16">
        <v>215</v>
      </c>
      <c r="B234" s="10">
        <f t="shared" si="16"/>
        <v>0</v>
      </c>
      <c r="C234" s="10">
        <f t="shared" si="17"/>
        <v>0</v>
      </c>
      <c r="D234" s="10">
        <f t="shared" si="18"/>
        <v>0</v>
      </c>
      <c r="E234" s="5">
        <f t="shared" si="19"/>
        <v>0</v>
      </c>
      <c r="F234" s="6"/>
      <c r="G234" s="6"/>
      <c r="H234" s="6"/>
      <c r="I234" s="6"/>
      <c r="J234" s="6"/>
    </row>
    <row r="235" spans="1:10">
      <c r="A235" s="16">
        <v>216</v>
      </c>
      <c r="B235" s="10">
        <f t="shared" si="16"/>
        <v>0</v>
      </c>
      <c r="C235" s="10">
        <f t="shared" si="17"/>
        <v>0</v>
      </c>
      <c r="D235" s="10">
        <f t="shared" si="18"/>
        <v>0</v>
      </c>
      <c r="E235" s="5">
        <f t="shared" si="19"/>
        <v>0</v>
      </c>
      <c r="F235" s="6"/>
      <c r="G235" s="6"/>
      <c r="H235" s="6"/>
      <c r="I235" s="6"/>
      <c r="J235" s="6"/>
    </row>
    <row r="236" spans="1:10">
      <c r="A236" s="16">
        <v>217</v>
      </c>
      <c r="B236" s="10">
        <f t="shared" si="16"/>
        <v>0</v>
      </c>
      <c r="C236" s="10">
        <f t="shared" si="17"/>
        <v>0</v>
      </c>
      <c r="D236" s="10">
        <f t="shared" si="18"/>
        <v>0</v>
      </c>
      <c r="E236" s="5">
        <f t="shared" si="19"/>
        <v>0</v>
      </c>
      <c r="F236" s="6"/>
      <c r="G236" s="6"/>
      <c r="H236" s="6"/>
      <c r="I236" s="6"/>
      <c r="J236" s="6"/>
    </row>
    <row r="237" spans="1:10">
      <c r="A237" s="16">
        <v>218</v>
      </c>
      <c r="B237" s="10">
        <f t="shared" si="16"/>
        <v>0</v>
      </c>
      <c r="C237" s="10">
        <f t="shared" si="17"/>
        <v>0</v>
      </c>
      <c r="D237" s="10">
        <f t="shared" si="18"/>
        <v>0</v>
      </c>
      <c r="E237" s="5">
        <f t="shared" si="19"/>
        <v>0</v>
      </c>
      <c r="F237" s="6"/>
      <c r="G237" s="6"/>
      <c r="H237" s="6"/>
      <c r="I237" s="6"/>
      <c r="J237" s="6"/>
    </row>
    <row r="238" spans="1:10">
      <c r="A238" s="16">
        <v>219</v>
      </c>
      <c r="B238" s="10">
        <f t="shared" si="16"/>
        <v>0</v>
      </c>
      <c r="C238" s="10">
        <f t="shared" si="17"/>
        <v>0</v>
      </c>
      <c r="D238" s="10">
        <f t="shared" si="18"/>
        <v>0</v>
      </c>
      <c r="E238" s="5">
        <f t="shared" si="19"/>
        <v>0</v>
      </c>
      <c r="F238" s="6"/>
      <c r="G238" s="6"/>
      <c r="H238" s="6"/>
      <c r="I238" s="6"/>
      <c r="J238" s="6"/>
    </row>
    <row r="239" spans="1:10">
      <c r="A239" s="16">
        <v>220</v>
      </c>
      <c r="B239" s="10">
        <f t="shared" si="16"/>
        <v>0</v>
      </c>
      <c r="C239" s="10">
        <f t="shared" si="17"/>
        <v>0</v>
      </c>
      <c r="D239" s="10">
        <f t="shared" si="18"/>
        <v>0</v>
      </c>
      <c r="E239" s="5">
        <f t="shared" si="19"/>
        <v>0</v>
      </c>
      <c r="F239" s="6"/>
      <c r="G239" s="6"/>
      <c r="H239" s="6"/>
      <c r="I239" s="6"/>
      <c r="J239" s="6"/>
    </row>
    <row r="240" spans="1:10">
      <c r="A240" s="16">
        <v>221</v>
      </c>
      <c r="B240" s="10">
        <f t="shared" si="16"/>
        <v>0</v>
      </c>
      <c r="C240" s="10">
        <f t="shared" si="17"/>
        <v>0</v>
      </c>
      <c r="D240" s="10">
        <f t="shared" si="18"/>
        <v>0</v>
      </c>
      <c r="E240" s="5">
        <f t="shared" si="19"/>
        <v>0</v>
      </c>
      <c r="F240" s="6"/>
      <c r="G240" s="6"/>
      <c r="H240" s="6"/>
      <c r="I240" s="6"/>
      <c r="J240" s="6"/>
    </row>
    <row r="241" spans="1:10">
      <c r="A241" s="16">
        <v>222</v>
      </c>
      <c r="B241" s="10">
        <f t="shared" si="16"/>
        <v>0</v>
      </c>
      <c r="C241" s="10">
        <f t="shared" si="17"/>
        <v>0</v>
      </c>
      <c r="D241" s="10">
        <f t="shared" si="18"/>
        <v>0</v>
      </c>
      <c r="E241" s="5">
        <f t="shared" si="19"/>
        <v>0</v>
      </c>
      <c r="F241" s="6"/>
      <c r="G241" s="6"/>
      <c r="H241" s="6"/>
      <c r="I241" s="6"/>
      <c r="J241" s="6"/>
    </row>
    <row r="242" spans="1:10">
      <c r="A242" s="16">
        <v>223</v>
      </c>
      <c r="B242" s="10">
        <f t="shared" si="16"/>
        <v>0</v>
      </c>
      <c r="C242" s="10">
        <f t="shared" si="17"/>
        <v>0</v>
      </c>
      <c r="D242" s="10">
        <f t="shared" si="18"/>
        <v>0</v>
      </c>
      <c r="E242" s="5">
        <f t="shared" si="19"/>
        <v>0</v>
      </c>
      <c r="F242" s="6"/>
      <c r="G242" s="6"/>
      <c r="H242" s="6"/>
      <c r="I242" s="6"/>
      <c r="J242" s="6"/>
    </row>
    <row r="243" spans="1:10">
      <c r="A243" s="16">
        <v>224</v>
      </c>
      <c r="B243" s="10">
        <f t="shared" si="16"/>
        <v>0</v>
      </c>
      <c r="C243" s="10">
        <f t="shared" si="17"/>
        <v>0</v>
      </c>
      <c r="D243" s="10">
        <f t="shared" si="18"/>
        <v>0</v>
      </c>
      <c r="E243" s="5">
        <f t="shared" si="19"/>
        <v>0</v>
      </c>
      <c r="F243" s="6"/>
      <c r="G243" s="6"/>
      <c r="H243" s="6"/>
      <c r="I243" s="6"/>
      <c r="J243" s="6"/>
    </row>
    <row r="244" spans="1:10">
      <c r="A244" s="16">
        <v>225</v>
      </c>
      <c r="B244" s="10">
        <f t="shared" si="16"/>
        <v>0</v>
      </c>
      <c r="C244" s="10">
        <f t="shared" si="17"/>
        <v>0</v>
      </c>
      <c r="D244" s="10">
        <f t="shared" si="18"/>
        <v>0</v>
      </c>
      <c r="E244" s="5">
        <f t="shared" si="19"/>
        <v>0</v>
      </c>
      <c r="F244" s="6"/>
      <c r="G244" s="6"/>
      <c r="H244" s="6"/>
      <c r="I244" s="6"/>
      <c r="J244" s="6"/>
    </row>
    <row r="245" spans="1:10">
      <c r="A245" s="16">
        <v>226</v>
      </c>
      <c r="B245" s="10">
        <f t="shared" si="16"/>
        <v>0</v>
      </c>
      <c r="C245" s="10">
        <f t="shared" si="17"/>
        <v>0</v>
      </c>
      <c r="D245" s="10">
        <f t="shared" si="18"/>
        <v>0</v>
      </c>
      <c r="E245" s="5">
        <f t="shared" si="19"/>
        <v>0</v>
      </c>
      <c r="F245" s="6"/>
      <c r="G245" s="6"/>
      <c r="H245" s="6"/>
      <c r="I245" s="6"/>
      <c r="J245" s="6"/>
    </row>
    <row r="246" spans="1:10">
      <c r="A246" s="16">
        <v>227</v>
      </c>
      <c r="B246" s="10">
        <f t="shared" si="16"/>
        <v>0</v>
      </c>
      <c r="C246" s="10">
        <f t="shared" si="17"/>
        <v>0</v>
      </c>
      <c r="D246" s="10">
        <f t="shared" si="18"/>
        <v>0</v>
      </c>
      <c r="E246" s="5">
        <f t="shared" si="19"/>
        <v>0</v>
      </c>
      <c r="F246" s="6"/>
      <c r="G246" s="6"/>
      <c r="H246" s="6"/>
      <c r="I246" s="6"/>
      <c r="J246" s="6"/>
    </row>
    <row r="247" spans="1:10">
      <c r="A247" s="16">
        <v>228</v>
      </c>
      <c r="B247" s="10">
        <f t="shared" si="16"/>
        <v>0</v>
      </c>
      <c r="C247" s="10">
        <f t="shared" si="17"/>
        <v>0</v>
      </c>
      <c r="D247" s="10">
        <f t="shared" si="18"/>
        <v>0</v>
      </c>
      <c r="E247" s="5">
        <f t="shared" si="19"/>
        <v>0</v>
      </c>
      <c r="F247" s="6"/>
      <c r="G247" s="6"/>
      <c r="H247" s="6"/>
      <c r="I247" s="6"/>
      <c r="J247" s="6"/>
    </row>
    <row r="248" spans="1:10">
      <c r="A248" s="16">
        <v>229</v>
      </c>
      <c r="B248" s="10">
        <f t="shared" si="16"/>
        <v>0</v>
      </c>
      <c r="C248" s="10">
        <f t="shared" si="17"/>
        <v>0</v>
      </c>
      <c r="D248" s="10">
        <f t="shared" si="18"/>
        <v>0</v>
      </c>
      <c r="E248" s="5">
        <f t="shared" si="19"/>
        <v>0</v>
      </c>
      <c r="F248" s="6"/>
      <c r="G248" s="6"/>
      <c r="H248" s="6"/>
      <c r="I248" s="6"/>
      <c r="J248" s="6"/>
    </row>
    <row r="249" spans="1:10">
      <c r="A249" s="16">
        <v>230</v>
      </c>
      <c r="B249" s="10">
        <f t="shared" si="16"/>
        <v>0</v>
      </c>
      <c r="C249" s="10">
        <f t="shared" si="17"/>
        <v>0</v>
      </c>
      <c r="D249" s="10">
        <f t="shared" si="18"/>
        <v>0</v>
      </c>
      <c r="E249" s="5">
        <f t="shared" si="19"/>
        <v>0</v>
      </c>
      <c r="F249" s="6"/>
      <c r="G249" s="6"/>
      <c r="H249" s="6"/>
      <c r="I249" s="6"/>
      <c r="J249" s="6"/>
    </row>
    <row r="250" spans="1:10">
      <c r="A250" s="16">
        <v>231</v>
      </c>
      <c r="B250" s="10">
        <f t="shared" si="16"/>
        <v>0</v>
      </c>
      <c r="C250" s="10">
        <f t="shared" si="17"/>
        <v>0</v>
      </c>
      <c r="D250" s="10">
        <f t="shared" si="18"/>
        <v>0</v>
      </c>
      <c r="E250" s="5">
        <f t="shared" si="19"/>
        <v>0</v>
      </c>
      <c r="F250" s="6"/>
      <c r="G250" s="6"/>
      <c r="H250" s="6"/>
      <c r="I250" s="6"/>
      <c r="J250" s="6"/>
    </row>
    <row r="251" spans="1:10">
      <c r="A251" s="16">
        <v>232</v>
      </c>
      <c r="B251" s="10">
        <f t="shared" si="16"/>
        <v>0</v>
      </c>
      <c r="C251" s="10">
        <f t="shared" si="17"/>
        <v>0</v>
      </c>
      <c r="D251" s="10">
        <f t="shared" si="18"/>
        <v>0</v>
      </c>
      <c r="E251" s="5">
        <f t="shared" si="19"/>
        <v>0</v>
      </c>
      <c r="F251" s="6"/>
      <c r="G251" s="6"/>
      <c r="H251" s="6"/>
      <c r="I251" s="6"/>
      <c r="J251" s="6"/>
    </row>
    <row r="252" spans="1:10">
      <c r="A252" s="16">
        <v>233</v>
      </c>
      <c r="B252" s="10">
        <f t="shared" si="16"/>
        <v>0</v>
      </c>
      <c r="C252" s="10">
        <f t="shared" si="17"/>
        <v>0</v>
      </c>
      <c r="D252" s="10">
        <f t="shared" si="18"/>
        <v>0</v>
      </c>
      <c r="E252" s="5">
        <f t="shared" si="19"/>
        <v>0</v>
      </c>
      <c r="F252" s="6"/>
      <c r="G252" s="6"/>
      <c r="H252" s="6"/>
      <c r="I252" s="6"/>
      <c r="J252" s="6"/>
    </row>
    <row r="253" spans="1:10">
      <c r="A253" s="16">
        <v>234</v>
      </c>
      <c r="B253" s="10">
        <f t="shared" si="16"/>
        <v>0</v>
      </c>
      <c r="C253" s="10">
        <f t="shared" si="17"/>
        <v>0</v>
      </c>
      <c r="D253" s="10">
        <f t="shared" si="18"/>
        <v>0</v>
      </c>
      <c r="E253" s="5">
        <f t="shared" si="19"/>
        <v>0</v>
      </c>
      <c r="F253" s="6"/>
      <c r="G253" s="6"/>
      <c r="H253" s="6"/>
      <c r="I253" s="6"/>
      <c r="J253" s="6"/>
    </row>
    <row r="254" spans="1:10">
      <c r="A254" s="16">
        <v>235</v>
      </c>
      <c r="B254" s="10">
        <f t="shared" si="16"/>
        <v>0</v>
      </c>
      <c r="C254" s="10">
        <f t="shared" si="17"/>
        <v>0</v>
      </c>
      <c r="D254" s="10">
        <f t="shared" si="18"/>
        <v>0</v>
      </c>
      <c r="E254" s="5">
        <f t="shared" si="19"/>
        <v>0</v>
      </c>
      <c r="F254" s="6"/>
      <c r="G254" s="6"/>
      <c r="H254" s="6"/>
      <c r="I254" s="6"/>
      <c r="J254" s="6"/>
    </row>
    <row r="255" spans="1:10">
      <c r="A255" s="16">
        <v>236</v>
      </c>
      <c r="B255" s="10">
        <f t="shared" si="16"/>
        <v>0</v>
      </c>
      <c r="C255" s="10">
        <f t="shared" si="17"/>
        <v>0</v>
      </c>
      <c r="D255" s="10">
        <f t="shared" si="18"/>
        <v>0</v>
      </c>
      <c r="E255" s="5">
        <f t="shared" si="19"/>
        <v>0</v>
      </c>
      <c r="F255" s="6"/>
      <c r="G255" s="6"/>
      <c r="H255" s="6"/>
      <c r="I255" s="6"/>
      <c r="J255" s="6"/>
    </row>
    <row r="256" spans="1:10">
      <c r="A256" s="16">
        <v>237</v>
      </c>
      <c r="B256" s="10">
        <f t="shared" si="16"/>
        <v>0</v>
      </c>
      <c r="C256" s="10">
        <f t="shared" si="17"/>
        <v>0</v>
      </c>
      <c r="D256" s="10">
        <f t="shared" si="18"/>
        <v>0</v>
      </c>
      <c r="E256" s="5">
        <f t="shared" si="19"/>
        <v>0</v>
      </c>
      <c r="F256" s="6"/>
      <c r="G256" s="6"/>
      <c r="H256" s="6"/>
      <c r="I256" s="6"/>
      <c r="J256" s="6"/>
    </row>
    <row r="257" spans="1:10">
      <c r="A257" s="16">
        <v>238</v>
      </c>
      <c r="B257" s="10">
        <f t="shared" si="16"/>
        <v>0</v>
      </c>
      <c r="C257" s="10">
        <f t="shared" si="17"/>
        <v>0</v>
      </c>
      <c r="D257" s="10">
        <f t="shared" si="18"/>
        <v>0</v>
      </c>
      <c r="E257" s="5">
        <f t="shared" si="19"/>
        <v>0</v>
      </c>
      <c r="F257" s="6"/>
      <c r="G257" s="6"/>
      <c r="H257" s="6"/>
      <c r="I257" s="6"/>
      <c r="J257" s="6"/>
    </row>
    <row r="258" spans="1:10">
      <c r="A258" s="16">
        <v>239</v>
      </c>
      <c r="B258" s="10">
        <f t="shared" si="16"/>
        <v>0</v>
      </c>
      <c r="C258" s="10">
        <f t="shared" si="17"/>
        <v>0</v>
      </c>
      <c r="D258" s="10">
        <f t="shared" si="18"/>
        <v>0</v>
      </c>
      <c r="E258" s="5">
        <f t="shared" si="19"/>
        <v>0</v>
      </c>
      <c r="F258" s="6"/>
      <c r="G258" s="6"/>
      <c r="H258" s="6"/>
      <c r="I258" s="6"/>
      <c r="J258" s="6"/>
    </row>
    <row r="259" spans="1:10">
      <c r="A259" s="16">
        <v>240</v>
      </c>
      <c r="B259" s="10">
        <f t="shared" si="16"/>
        <v>0</v>
      </c>
      <c r="C259" s="10">
        <f t="shared" si="17"/>
        <v>0</v>
      </c>
      <c r="D259" s="10">
        <f t="shared" si="18"/>
        <v>0</v>
      </c>
      <c r="E259" s="5">
        <f t="shared" si="19"/>
        <v>0</v>
      </c>
      <c r="F259" s="6"/>
      <c r="G259" s="6"/>
      <c r="H259" s="6"/>
      <c r="I259" s="6"/>
      <c r="J259" s="6"/>
    </row>
    <row r="260" spans="1:10">
      <c r="A260" s="16">
        <v>241</v>
      </c>
      <c r="B260" s="10">
        <f t="shared" si="16"/>
        <v>0</v>
      </c>
      <c r="C260" s="10">
        <f t="shared" si="17"/>
        <v>0</v>
      </c>
      <c r="D260" s="10">
        <f t="shared" si="18"/>
        <v>0</v>
      </c>
      <c r="E260" s="5">
        <f t="shared" si="19"/>
        <v>0</v>
      </c>
      <c r="F260" s="6"/>
      <c r="G260" s="6"/>
      <c r="H260" s="6"/>
      <c r="I260" s="6"/>
      <c r="J260" s="6"/>
    </row>
    <row r="261" spans="1:10">
      <c r="A261" s="16">
        <v>242</v>
      </c>
      <c r="B261" s="10">
        <f t="shared" si="16"/>
        <v>0</v>
      </c>
      <c r="C261" s="10">
        <f t="shared" si="17"/>
        <v>0</v>
      </c>
      <c r="D261" s="10">
        <f t="shared" si="18"/>
        <v>0</v>
      </c>
      <c r="E261" s="5">
        <f t="shared" si="19"/>
        <v>0</v>
      </c>
      <c r="F261" s="6"/>
      <c r="G261" s="6"/>
      <c r="H261" s="6"/>
      <c r="I261" s="6"/>
      <c r="J261" s="6"/>
    </row>
    <row r="262" spans="1:10">
      <c r="A262" s="16">
        <v>243</v>
      </c>
      <c r="B262" s="10">
        <f t="shared" si="16"/>
        <v>0</v>
      </c>
      <c r="C262" s="10">
        <f t="shared" si="17"/>
        <v>0</v>
      </c>
      <c r="D262" s="10">
        <f t="shared" si="18"/>
        <v>0</v>
      </c>
      <c r="E262" s="5">
        <f t="shared" si="19"/>
        <v>0</v>
      </c>
      <c r="F262" s="6"/>
      <c r="G262" s="6"/>
      <c r="H262" s="6"/>
      <c r="I262" s="6"/>
      <c r="J262" s="6"/>
    </row>
    <row r="263" spans="1:10">
      <c r="A263" s="16">
        <v>244</v>
      </c>
      <c r="B263" s="10">
        <f t="shared" si="16"/>
        <v>0</v>
      </c>
      <c r="C263" s="10">
        <f t="shared" si="17"/>
        <v>0</v>
      </c>
      <c r="D263" s="10">
        <f t="shared" si="18"/>
        <v>0</v>
      </c>
      <c r="E263" s="5">
        <f t="shared" si="19"/>
        <v>0</v>
      </c>
      <c r="F263" s="6"/>
      <c r="G263" s="6"/>
      <c r="H263" s="6"/>
      <c r="I263" s="6"/>
      <c r="J263" s="6"/>
    </row>
    <row r="264" spans="1:10">
      <c r="A264" s="16">
        <v>245</v>
      </c>
      <c r="B264" s="10">
        <f t="shared" si="16"/>
        <v>0</v>
      </c>
      <c r="C264" s="10">
        <f t="shared" si="17"/>
        <v>0</v>
      </c>
      <c r="D264" s="10">
        <f t="shared" si="18"/>
        <v>0</v>
      </c>
      <c r="E264" s="5">
        <f t="shared" si="19"/>
        <v>0</v>
      </c>
      <c r="F264" s="6"/>
      <c r="G264" s="6"/>
      <c r="H264" s="6"/>
      <c r="I264" s="6"/>
      <c r="J264" s="6"/>
    </row>
    <row r="265" spans="1:10">
      <c r="A265" s="16">
        <v>246</v>
      </c>
      <c r="B265" s="10">
        <f t="shared" si="16"/>
        <v>0</v>
      </c>
      <c r="C265" s="10">
        <f t="shared" si="17"/>
        <v>0</v>
      </c>
      <c r="D265" s="10">
        <f t="shared" si="18"/>
        <v>0</v>
      </c>
      <c r="E265" s="5">
        <f t="shared" si="19"/>
        <v>0</v>
      </c>
      <c r="F265" s="6"/>
      <c r="G265" s="6"/>
      <c r="H265" s="6"/>
      <c r="I265" s="6"/>
      <c r="J265" s="6"/>
    </row>
    <row r="266" spans="1:10">
      <c r="A266" s="16">
        <v>247</v>
      </c>
      <c r="B266" s="10">
        <f t="shared" si="16"/>
        <v>0</v>
      </c>
      <c r="C266" s="10">
        <f t="shared" si="17"/>
        <v>0</v>
      </c>
      <c r="D266" s="10">
        <f t="shared" si="18"/>
        <v>0</v>
      </c>
      <c r="E266" s="5">
        <f t="shared" si="19"/>
        <v>0</v>
      </c>
      <c r="F266" s="6"/>
      <c r="G266" s="6"/>
      <c r="H266" s="6"/>
      <c r="I266" s="6"/>
      <c r="J266" s="6"/>
    </row>
    <row r="267" spans="1:10">
      <c r="A267" s="16">
        <v>248</v>
      </c>
      <c r="B267" s="10">
        <f t="shared" si="16"/>
        <v>0</v>
      </c>
      <c r="C267" s="10">
        <f t="shared" si="17"/>
        <v>0</v>
      </c>
      <c r="D267" s="10">
        <f t="shared" si="18"/>
        <v>0</v>
      </c>
      <c r="E267" s="5">
        <f t="shared" si="19"/>
        <v>0</v>
      </c>
      <c r="F267" s="6"/>
      <c r="G267" s="6"/>
      <c r="H267" s="6"/>
      <c r="I267" s="6"/>
      <c r="J267" s="6"/>
    </row>
    <row r="268" spans="1:10">
      <c r="A268" s="16">
        <v>249</v>
      </c>
      <c r="B268" s="10">
        <f t="shared" si="16"/>
        <v>0</v>
      </c>
      <c r="C268" s="10">
        <f t="shared" si="17"/>
        <v>0</v>
      </c>
      <c r="D268" s="10">
        <f t="shared" si="18"/>
        <v>0</v>
      </c>
      <c r="E268" s="5">
        <f t="shared" si="19"/>
        <v>0</v>
      </c>
      <c r="F268" s="6"/>
      <c r="G268" s="6"/>
      <c r="H268" s="6"/>
      <c r="I268" s="6"/>
      <c r="J268" s="6"/>
    </row>
    <row r="269" spans="1:10">
      <c r="A269" s="16">
        <v>250</v>
      </c>
      <c r="B269" s="10">
        <f t="shared" si="16"/>
        <v>0</v>
      </c>
      <c r="C269" s="10">
        <f t="shared" si="17"/>
        <v>0</v>
      </c>
      <c r="D269" s="10">
        <f t="shared" si="18"/>
        <v>0</v>
      </c>
      <c r="E269" s="5">
        <f t="shared" si="19"/>
        <v>0</v>
      </c>
      <c r="F269" s="6"/>
      <c r="G269" s="6"/>
      <c r="H269" s="6"/>
      <c r="I269" s="6"/>
      <c r="J269" s="6"/>
    </row>
    <row r="270" spans="1:10">
      <c r="A270" s="16">
        <v>251</v>
      </c>
      <c r="B270" s="10">
        <f t="shared" si="16"/>
        <v>0</v>
      </c>
      <c r="C270" s="10">
        <f t="shared" si="17"/>
        <v>0</v>
      </c>
      <c r="D270" s="10">
        <f t="shared" si="18"/>
        <v>0</v>
      </c>
      <c r="E270" s="5">
        <f t="shared" si="19"/>
        <v>0</v>
      </c>
      <c r="F270" s="6"/>
      <c r="G270" s="6"/>
      <c r="H270" s="6"/>
      <c r="I270" s="6"/>
      <c r="J270" s="6"/>
    </row>
    <row r="271" spans="1:10">
      <c r="A271" s="16">
        <v>252</v>
      </c>
      <c r="B271" s="10">
        <f t="shared" si="16"/>
        <v>0</v>
      </c>
      <c r="C271" s="10">
        <f t="shared" si="17"/>
        <v>0</v>
      </c>
      <c r="D271" s="10">
        <f t="shared" si="18"/>
        <v>0</v>
      </c>
      <c r="E271" s="5">
        <f t="shared" si="19"/>
        <v>0</v>
      </c>
      <c r="F271" s="6"/>
      <c r="G271" s="6"/>
      <c r="H271" s="6"/>
      <c r="I271" s="6"/>
      <c r="J271" s="6"/>
    </row>
    <row r="272" spans="1:10">
      <c r="A272" s="16">
        <v>253</v>
      </c>
      <c r="B272" s="10">
        <f t="shared" si="16"/>
        <v>0</v>
      </c>
      <c r="C272" s="10">
        <f t="shared" si="17"/>
        <v>0</v>
      </c>
      <c r="D272" s="10">
        <f t="shared" si="18"/>
        <v>0</v>
      </c>
      <c r="E272" s="5">
        <f t="shared" si="19"/>
        <v>0</v>
      </c>
      <c r="F272" s="6"/>
      <c r="G272" s="6"/>
      <c r="H272" s="6"/>
      <c r="I272" s="6"/>
      <c r="J272" s="6"/>
    </row>
    <row r="273" spans="1:10">
      <c r="A273" s="16">
        <v>254</v>
      </c>
      <c r="B273" s="10">
        <f t="shared" si="16"/>
        <v>0</v>
      </c>
      <c r="C273" s="10">
        <f t="shared" si="17"/>
        <v>0</v>
      </c>
      <c r="D273" s="10">
        <f t="shared" si="18"/>
        <v>0</v>
      </c>
      <c r="E273" s="5">
        <f t="shared" si="19"/>
        <v>0</v>
      </c>
      <c r="F273" s="6"/>
      <c r="G273" s="6"/>
      <c r="H273" s="6"/>
      <c r="I273" s="6"/>
      <c r="J273" s="6"/>
    </row>
    <row r="274" spans="1:10">
      <c r="A274" s="16">
        <v>255</v>
      </c>
      <c r="B274" s="10">
        <f t="shared" si="16"/>
        <v>0</v>
      </c>
      <c r="C274" s="10">
        <f t="shared" si="17"/>
        <v>0</v>
      </c>
      <c r="D274" s="10">
        <f t="shared" si="18"/>
        <v>0</v>
      </c>
      <c r="E274" s="5">
        <f t="shared" si="19"/>
        <v>0</v>
      </c>
      <c r="F274" s="6"/>
      <c r="G274" s="6"/>
      <c r="H274" s="6"/>
      <c r="I274" s="6"/>
      <c r="J274" s="6"/>
    </row>
    <row r="275" spans="1:10">
      <c r="A275" s="16">
        <v>256</v>
      </c>
      <c r="B275" s="10">
        <f t="shared" si="16"/>
        <v>0</v>
      </c>
      <c r="C275" s="10">
        <f t="shared" si="17"/>
        <v>0</v>
      </c>
      <c r="D275" s="10">
        <f t="shared" si="18"/>
        <v>0</v>
      </c>
      <c r="E275" s="5">
        <f t="shared" si="19"/>
        <v>0</v>
      </c>
      <c r="F275" s="6"/>
      <c r="G275" s="6"/>
      <c r="H275" s="6"/>
      <c r="I275" s="6"/>
      <c r="J275" s="6"/>
    </row>
    <row r="276" spans="1:10">
      <c r="A276" s="16">
        <v>257</v>
      </c>
      <c r="B276" s="10">
        <f t="shared" ref="B276:B339" si="20">IF(A276&lt;=$D$5*12,B275-D276,0)</f>
        <v>0</v>
      </c>
      <c r="C276" s="10">
        <f t="shared" ref="C276:C339" si="21">IF(A276&lt;=$D$5*12,B275*$D$6/12,0)</f>
        <v>0</v>
      </c>
      <c r="D276" s="10">
        <f t="shared" si="18"/>
        <v>0</v>
      </c>
      <c r="E276" s="5">
        <f t="shared" si="19"/>
        <v>0</v>
      </c>
      <c r="F276" s="6"/>
      <c r="G276" s="6"/>
      <c r="H276" s="6"/>
      <c r="I276" s="6"/>
      <c r="J276" s="6"/>
    </row>
    <row r="277" spans="1:10">
      <c r="A277" s="16">
        <v>258</v>
      </c>
      <c r="B277" s="10">
        <f t="shared" si="20"/>
        <v>0</v>
      </c>
      <c r="C277" s="10">
        <f t="shared" si="21"/>
        <v>0</v>
      </c>
      <c r="D277" s="10">
        <f t="shared" ref="D277:D340" si="22">IF($D$3="Annuitätendarlehen",IF(A277&lt;=$D$5*12,E277-C277,0),IF($D$3="Ratendarlehen",IF(AND(A277&lt;=$D$5*12,A277&gt;$D$7),$D$4/($D$5*12-$D$7),0),IF($D$3="Restwertdarlehen",IF(A277=$D$5*12,$D$4,0),0)))</f>
        <v>0</v>
      </c>
      <c r="E277" s="5">
        <f t="shared" ref="E277:E340" si="23">IF($D$3="Annuitätendarlehen",IF(AND(A277&lt;=$D$5*12,A277&gt;$D$7),PMT($D$6/12,$D$5*12-$D$7,-$D$4,$D$8,0),IF(A277&lt;=$D$7,C277,0)),IF($D$3="Ratendarlehen",IF(AND(A277&lt;=$D$5*12,A277&gt;$D$7),$D$4/($D$5*12-$D$7)+C277,IF(A277&lt;=$D$7,C277,0)),IF(AND($D$3="Restwertdarlehen",A277&lt;=$D$5*12),C277+D277,0)))</f>
        <v>0</v>
      </c>
      <c r="F277" s="6"/>
      <c r="G277" s="6"/>
      <c r="H277" s="6"/>
      <c r="I277" s="6"/>
      <c r="J277" s="6"/>
    </row>
    <row r="278" spans="1:10">
      <c r="A278" s="16">
        <v>259</v>
      </c>
      <c r="B278" s="10">
        <f t="shared" si="20"/>
        <v>0</v>
      </c>
      <c r="C278" s="10">
        <f t="shared" si="21"/>
        <v>0</v>
      </c>
      <c r="D278" s="10">
        <f t="shared" si="22"/>
        <v>0</v>
      </c>
      <c r="E278" s="5">
        <f t="shared" si="23"/>
        <v>0</v>
      </c>
      <c r="F278" s="6"/>
      <c r="G278" s="6"/>
      <c r="H278" s="6"/>
      <c r="I278" s="6"/>
      <c r="J278" s="6"/>
    </row>
    <row r="279" spans="1:10">
      <c r="A279" s="16">
        <v>260</v>
      </c>
      <c r="B279" s="10">
        <f t="shared" si="20"/>
        <v>0</v>
      </c>
      <c r="C279" s="10">
        <f t="shared" si="21"/>
        <v>0</v>
      </c>
      <c r="D279" s="10">
        <f t="shared" si="22"/>
        <v>0</v>
      </c>
      <c r="E279" s="5">
        <f t="shared" si="23"/>
        <v>0</v>
      </c>
      <c r="F279" s="6"/>
      <c r="G279" s="6"/>
      <c r="H279" s="6"/>
      <c r="I279" s="6"/>
      <c r="J279" s="6"/>
    </row>
    <row r="280" spans="1:10">
      <c r="A280" s="16">
        <v>261</v>
      </c>
      <c r="B280" s="10">
        <f t="shared" si="20"/>
        <v>0</v>
      </c>
      <c r="C280" s="10">
        <f t="shared" si="21"/>
        <v>0</v>
      </c>
      <c r="D280" s="10">
        <f t="shared" si="22"/>
        <v>0</v>
      </c>
      <c r="E280" s="5">
        <f t="shared" si="23"/>
        <v>0</v>
      </c>
      <c r="F280" s="6"/>
      <c r="G280" s="6"/>
      <c r="H280" s="6"/>
      <c r="I280" s="6"/>
      <c r="J280" s="6"/>
    </row>
    <row r="281" spans="1:10">
      <c r="A281" s="16">
        <v>262</v>
      </c>
      <c r="B281" s="10">
        <f t="shared" si="20"/>
        <v>0</v>
      </c>
      <c r="C281" s="10">
        <f t="shared" si="21"/>
        <v>0</v>
      </c>
      <c r="D281" s="10">
        <f t="shared" si="22"/>
        <v>0</v>
      </c>
      <c r="E281" s="5">
        <f t="shared" si="23"/>
        <v>0</v>
      </c>
      <c r="F281" s="6"/>
      <c r="G281" s="6"/>
      <c r="H281" s="6"/>
      <c r="I281" s="6"/>
      <c r="J281" s="6"/>
    </row>
    <row r="282" spans="1:10">
      <c r="A282" s="16">
        <v>263</v>
      </c>
      <c r="B282" s="10">
        <f t="shared" si="20"/>
        <v>0</v>
      </c>
      <c r="C282" s="10">
        <f t="shared" si="21"/>
        <v>0</v>
      </c>
      <c r="D282" s="10">
        <f t="shared" si="22"/>
        <v>0</v>
      </c>
      <c r="E282" s="5">
        <f t="shared" si="23"/>
        <v>0</v>
      </c>
      <c r="F282" s="6"/>
      <c r="G282" s="6"/>
      <c r="H282" s="6"/>
      <c r="I282" s="6"/>
      <c r="J282" s="6"/>
    </row>
    <row r="283" spans="1:10">
      <c r="A283" s="16">
        <v>264</v>
      </c>
      <c r="B283" s="10">
        <f t="shared" si="20"/>
        <v>0</v>
      </c>
      <c r="C283" s="10">
        <f t="shared" si="21"/>
        <v>0</v>
      </c>
      <c r="D283" s="10">
        <f t="shared" si="22"/>
        <v>0</v>
      </c>
      <c r="E283" s="5">
        <f t="shared" si="23"/>
        <v>0</v>
      </c>
      <c r="F283" s="6"/>
      <c r="G283" s="6"/>
      <c r="H283" s="6"/>
      <c r="I283" s="6"/>
      <c r="J283" s="6"/>
    </row>
    <row r="284" spans="1:10">
      <c r="A284" s="16">
        <v>265</v>
      </c>
      <c r="B284" s="10">
        <f t="shared" si="20"/>
        <v>0</v>
      </c>
      <c r="C284" s="10">
        <f t="shared" si="21"/>
        <v>0</v>
      </c>
      <c r="D284" s="10">
        <f t="shared" si="22"/>
        <v>0</v>
      </c>
      <c r="E284" s="5">
        <f t="shared" si="23"/>
        <v>0</v>
      </c>
      <c r="F284" s="6"/>
      <c r="G284" s="6"/>
      <c r="H284" s="6"/>
      <c r="I284" s="6"/>
      <c r="J284" s="6"/>
    </row>
    <row r="285" spans="1:10">
      <c r="A285" s="16">
        <v>266</v>
      </c>
      <c r="B285" s="10">
        <f t="shared" si="20"/>
        <v>0</v>
      </c>
      <c r="C285" s="10">
        <f t="shared" si="21"/>
        <v>0</v>
      </c>
      <c r="D285" s="10">
        <f t="shared" si="22"/>
        <v>0</v>
      </c>
      <c r="E285" s="5">
        <f t="shared" si="23"/>
        <v>0</v>
      </c>
      <c r="F285" s="6"/>
      <c r="G285" s="6"/>
      <c r="H285" s="6"/>
      <c r="I285" s="6"/>
      <c r="J285" s="6"/>
    </row>
    <row r="286" spans="1:10">
      <c r="A286" s="16">
        <v>267</v>
      </c>
      <c r="B286" s="10">
        <f t="shared" si="20"/>
        <v>0</v>
      </c>
      <c r="C286" s="10">
        <f t="shared" si="21"/>
        <v>0</v>
      </c>
      <c r="D286" s="10">
        <f t="shared" si="22"/>
        <v>0</v>
      </c>
      <c r="E286" s="5">
        <f t="shared" si="23"/>
        <v>0</v>
      </c>
      <c r="F286" s="6"/>
      <c r="G286" s="6"/>
      <c r="H286" s="6"/>
      <c r="I286" s="6"/>
      <c r="J286" s="6"/>
    </row>
    <row r="287" spans="1:10">
      <c r="A287" s="16">
        <v>268</v>
      </c>
      <c r="B287" s="10">
        <f t="shared" si="20"/>
        <v>0</v>
      </c>
      <c r="C287" s="10">
        <f t="shared" si="21"/>
        <v>0</v>
      </c>
      <c r="D287" s="10">
        <f t="shared" si="22"/>
        <v>0</v>
      </c>
      <c r="E287" s="5">
        <f t="shared" si="23"/>
        <v>0</v>
      </c>
      <c r="F287" s="6"/>
      <c r="G287" s="6"/>
      <c r="H287" s="6"/>
      <c r="I287" s="6"/>
      <c r="J287" s="6"/>
    </row>
    <row r="288" spans="1:10">
      <c r="A288" s="16">
        <v>269</v>
      </c>
      <c r="B288" s="10">
        <f t="shared" si="20"/>
        <v>0</v>
      </c>
      <c r="C288" s="10">
        <f t="shared" si="21"/>
        <v>0</v>
      </c>
      <c r="D288" s="10">
        <f t="shared" si="22"/>
        <v>0</v>
      </c>
      <c r="E288" s="5">
        <f t="shared" si="23"/>
        <v>0</v>
      </c>
      <c r="F288" s="6"/>
      <c r="G288" s="6"/>
      <c r="H288" s="6"/>
      <c r="I288" s="6"/>
      <c r="J288" s="6"/>
    </row>
    <row r="289" spans="1:10">
      <c r="A289" s="16">
        <v>270</v>
      </c>
      <c r="B289" s="10">
        <f t="shared" si="20"/>
        <v>0</v>
      </c>
      <c r="C289" s="10">
        <f t="shared" si="21"/>
        <v>0</v>
      </c>
      <c r="D289" s="10">
        <f t="shared" si="22"/>
        <v>0</v>
      </c>
      <c r="E289" s="5">
        <f t="shared" si="23"/>
        <v>0</v>
      </c>
      <c r="F289" s="6"/>
      <c r="G289" s="6"/>
      <c r="H289" s="6"/>
      <c r="I289" s="6"/>
      <c r="J289" s="6"/>
    </row>
    <row r="290" spans="1:10">
      <c r="A290" s="16">
        <v>271</v>
      </c>
      <c r="B290" s="10">
        <f t="shared" si="20"/>
        <v>0</v>
      </c>
      <c r="C290" s="10">
        <f t="shared" si="21"/>
        <v>0</v>
      </c>
      <c r="D290" s="10">
        <f t="shared" si="22"/>
        <v>0</v>
      </c>
      <c r="E290" s="5">
        <f t="shared" si="23"/>
        <v>0</v>
      </c>
      <c r="F290" s="6"/>
      <c r="G290" s="6"/>
      <c r="H290" s="6"/>
      <c r="I290" s="6"/>
      <c r="J290" s="6"/>
    </row>
    <row r="291" spans="1:10">
      <c r="A291" s="16">
        <v>272</v>
      </c>
      <c r="B291" s="10">
        <f t="shared" si="20"/>
        <v>0</v>
      </c>
      <c r="C291" s="10">
        <f t="shared" si="21"/>
        <v>0</v>
      </c>
      <c r="D291" s="10">
        <f t="shared" si="22"/>
        <v>0</v>
      </c>
      <c r="E291" s="5">
        <f t="shared" si="23"/>
        <v>0</v>
      </c>
      <c r="F291" s="6"/>
      <c r="G291" s="6"/>
      <c r="H291" s="6"/>
      <c r="I291" s="6"/>
      <c r="J291" s="6"/>
    </row>
    <row r="292" spans="1:10">
      <c r="A292" s="16">
        <v>273</v>
      </c>
      <c r="B292" s="10">
        <f t="shared" si="20"/>
        <v>0</v>
      </c>
      <c r="C292" s="10">
        <f t="shared" si="21"/>
        <v>0</v>
      </c>
      <c r="D292" s="10">
        <f t="shared" si="22"/>
        <v>0</v>
      </c>
      <c r="E292" s="5">
        <f t="shared" si="23"/>
        <v>0</v>
      </c>
      <c r="F292" s="6"/>
      <c r="G292" s="6"/>
      <c r="H292" s="6"/>
      <c r="I292" s="6"/>
      <c r="J292" s="6"/>
    </row>
    <row r="293" spans="1:10">
      <c r="A293" s="16">
        <v>274</v>
      </c>
      <c r="B293" s="10">
        <f t="shared" si="20"/>
        <v>0</v>
      </c>
      <c r="C293" s="10">
        <f t="shared" si="21"/>
        <v>0</v>
      </c>
      <c r="D293" s="10">
        <f t="shared" si="22"/>
        <v>0</v>
      </c>
      <c r="E293" s="5">
        <f t="shared" si="23"/>
        <v>0</v>
      </c>
      <c r="F293" s="6"/>
      <c r="G293" s="6"/>
      <c r="H293" s="6"/>
      <c r="I293" s="6"/>
      <c r="J293" s="6"/>
    </row>
    <row r="294" spans="1:10">
      <c r="A294" s="16">
        <v>275</v>
      </c>
      <c r="B294" s="10">
        <f t="shared" si="20"/>
        <v>0</v>
      </c>
      <c r="C294" s="10">
        <f t="shared" si="21"/>
        <v>0</v>
      </c>
      <c r="D294" s="10">
        <f t="shared" si="22"/>
        <v>0</v>
      </c>
      <c r="E294" s="5">
        <f t="shared" si="23"/>
        <v>0</v>
      </c>
      <c r="F294" s="6"/>
      <c r="G294" s="6"/>
      <c r="H294" s="6"/>
      <c r="I294" s="6"/>
      <c r="J294" s="6"/>
    </row>
    <row r="295" spans="1:10">
      <c r="A295" s="16">
        <v>276</v>
      </c>
      <c r="B295" s="10">
        <f t="shared" si="20"/>
        <v>0</v>
      </c>
      <c r="C295" s="10">
        <f t="shared" si="21"/>
        <v>0</v>
      </c>
      <c r="D295" s="10">
        <f t="shared" si="22"/>
        <v>0</v>
      </c>
      <c r="E295" s="5">
        <f t="shared" si="23"/>
        <v>0</v>
      </c>
      <c r="F295" s="6"/>
      <c r="G295" s="6"/>
      <c r="H295" s="6"/>
      <c r="I295" s="6"/>
      <c r="J295" s="6"/>
    </row>
    <row r="296" spans="1:10">
      <c r="A296" s="16">
        <v>277</v>
      </c>
      <c r="B296" s="10">
        <f t="shared" si="20"/>
        <v>0</v>
      </c>
      <c r="C296" s="10">
        <f t="shared" si="21"/>
        <v>0</v>
      </c>
      <c r="D296" s="10">
        <f t="shared" si="22"/>
        <v>0</v>
      </c>
      <c r="E296" s="5">
        <f t="shared" si="23"/>
        <v>0</v>
      </c>
      <c r="F296" s="6"/>
      <c r="G296" s="6"/>
      <c r="H296" s="6"/>
      <c r="I296" s="6"/>
      <c r="J296" s="6"/>
    </row>
    <row r="297" spans="1:10">
      <c r="A297" s="16">
        <v>278</v>
      </c>
      <c r="B297" s="10">
        <f t="shared" si="20"/>
        <v>0</v>
      </c>
      <c r="C297" s="10">
        <f t="shared" si="21"/>
        <v>0</v>
      </c>
      <c r="D297" s="10">
        <f t="shared" si="22"/>
        <v>0</v>
      </c>
      <c r="E297" s="5">
        <f t="shared" si="23"/>
        <v>0</v>
      </c>
      <c r="F297" s="6"/>
      <c r="G297" s="6"/>
      <c r="H297" s="6"/>
      <c r="I297" s="6"/>
      <c r="J297" s="6"/>
    </row>
    <row r="298" spans="1:10">
      <c r="A298" s="16">
        <v>279</v>
      </c>
      <c r="B298" s="10">
        <f t="shared" si="20"/>
        <v>0</v>
      </c>
      <c r="C298" s="10">
        <f t="shared" si="21"/>
        <v>0</v>
      </c>
      <c r="D298" s="10">
        <f t="shared" si="22"/>
        <v>0</v>
      </c>
      <c r="E298" s="5">
        <f t="shared" si="23"/>
        <v>0</v>
      </c>
      <c r="F298" s="6"/>
      <c r="G298" s="6"/>
      <c r="H298" s="6"/>
      <c r="I298" s="6"/>
      <c r="J298" s="6"/>
    </row>
    <row r="299" spans="1:10">
      <c r="A299" s="16">
        <v>280</v>
      </c>
      <c r="B299" s="10">
        <f t="shared" si="20"/>
        <v>0</v>
      </c>
      <c r="C299" s="10">
        <f t="shared" si="21"/>
        <v>0</v>
      </c>
      <c r="D299" s="10">
        <f t="shared" si="22"/>
        <v>0</v>
      </c>
      <c r="E299" s="5">
        <f t="shared" si="23"/>
        <v>0</v>
      </c>
      <c r="F299" s="6"/>
      <c r="G299" s="6"/>
      <c r="H299" s="6"/>
      <c r="I299" s="6"/>
      <c r="J299" s="6"/>
    </row>
    <row r="300" spans="1:10">
      <c r="A300" s="16">
        <v>281</v>
      </c>
      <c r="B300" s="10">
        <f t="shared" si="20"/>
        <v>0</v>
      </c>
      <c r="C300" s="10">
        <f t="shared" si="21"/>
        <v>0</v>
      </c>
      <c r="D300" s="10">
        <f t="shared" si="22"/>
        <v>0</v>
      </c>
      <c r="E300" s="5">
        <f t="shared" si="23"/>
        <v>0</v>
      </c>
      <c r="F300" s="6"/>
      <c r="G300" s="6"/>
      <c r="H300" s="6"/>
      <c r="I300" s="6"/>
      <c r="J300" s="6"/>
    </row>
    <row r="301" spans="1:10">
      <c r="A301" s="16">
        <v>282</v>
      </c>
      <c r="B301" s="10">
        <f t="shared" si="20"/>
        <v>0</v>
      </c>
      <c r="C301" s="10">
        <f t="shared" si="21"/>
        <v>0</v>
      </c>
      <c r="D301" s="10">
        <f t="shared" si="22"/>
        <v>0</v>
      </c>
      <c r="E301" s="5">
        <f t="shared" si="23"/>
        <v>0</v>
      </c>
      <c r="F301" s="6"/>
      <c r="G301" s="6"/>
      <c r="H301" s="6"/>
      <c r="I301" s="6"/>
      <c r="J301" s="6"/>
    </row>
    <row r="302" spans="1:10">
      <c r="A302" s="16">
        <v>283</v>
      </c>
      <c r="B302" s="10">
        <f t="shared" si="20"/>
        <v>0</v>
      </c>
      <c r="C302" s="10">
        <f t="shared" si="21"/>
        <v>0</v>
      </c>
      <c r="D302" s="10">
        <f t="shared" si="22"/>
        <v>0</v>
      </c>
      <c r="E302" s="5">
        <f t="shared" si="23"/>
        <v>0</v>
      </c>
      <c r="F302" s="6"/>
      <c r="G302" s="6"/>
      <c r="H302" s="6"/>
      <c r="I302" s="6"/>
      <c r="J302" s="6"/>
    </row>
    <row r="303" spans="1:10">
      <c r="A303" s="16">
        <v>284</v>
      </c>
      <c r="B303" s="10">
        <f t="shared" si="20"/>
        <v>0</v>
      </c>
      <c r="C303" s="10">
        <f t="shared" si="21"/>
        <v>0</v>
      </c>
      <c r="D303" s="10">
        <f t="shared" si="22"/>
        <v>0</v>
      </c>
      <c r="E303" s="5">
        <f t="shared" si="23"/>
        <v>0</v>
      </c>
      <c r="F303" s="6"/>
      <c r="G303" s="6"/>
      <c r="H303" s="6"/>
      <c r="I303" s="6"/>
      <c r="J303" s="6"/>
    </row>
    <row r="304" spans="1:10">
      <c r="A304" s="16">
        <v>285</v>
      </c>
      <c r="B304" s="10">
        <f t="shared" si="20"/>
        <v>0</v>
      </c>
      <c r="C304" s="10">
        <f t="shared" si="21"/>
        <v>0</v>
      </c>
      <c r="D304" s="10">
        <f t="shared" si="22"/>
        <v>0</v>
      </c>
      <c r="E304" s="5">
        <f t="shared" si="23"/>
        <v>0</v>
      </c>
      <c r="F304" s="6"/>
      <c r="G304" s="6"/>
      <c r="H304" s="6"/>
      <c r="I304" s="6"/>
      <c r="J304" s="6"/>
    </row>
    <row r="305" spans="1:10">
      <c r="A305" s="16">
        <v>286</v>
      </c>
      <c r="B305" s="10">
        <f t="shared" si="20"/>
        <v>0</v>
      </c>
      <c r="C305" s="10">
        <f t="shared" si="21"/>
        <v>0</v>
      </c>
      <c r="D305" s="10">
        <f t="shared" si="22"/>
        <v>0</v>
      </c>
      <c r="E305" s="5">
        <f t="shared" si="23"/>
        <v>0</v>
      </c>
      <c r="F305" s="6"/>
      <c r="G305" s="6"/>
      <c r="H305" s="6"/>
      <c r="I305" s="6"/>
      <c r="J305" s="6"/>
    </row>
    <row r="306" spans="1:10">
      <c r="A306" s="16">
        <v>287</v>
      </c>
      <c r="B306" s="10">
        <f t="shared" si="20"/>
        <v>0</v>
      </c>
      <c r="C306" s="10">
        <f t="shared" si="21"/>
        <v>0</v>
      </c>
      <c r="D306" s="10">
        <f t="shared" si="22"/>
        <v>0</v>
      </c>
      <c r="E306" s="5">
        <f t="shared" si="23"/>
        <v>0</v>
      </c>
      <c r="F306" s="6"/>
      <c r="G306" s="6"/>
      <c r="H306" s="6"/>
      <c r="I306" s="6"/>
      <c r="J306" s="6"/>
    </row>
    <row r="307" spans="1:10">
      <c r="A307" s="16">
        <v>288</v>
      </c>
      <c r="B307" s="10">
        <f t="shared" si="20"/>
        <v>0</v>
      </c>
      <c r="C307" s="10">
        <f t="shared" si="21"/>
        <v>0</v>
      </c>
      <c r="D307" s="10">
        <f t="shared" si="22"/>
        <v>0</v>
      </c>
      <c r="E307" s="5">
        <f t="shared" si="23"/>
        <v>0</v>
      </c>
      <c r="F307" s="6"/>
      <c r="G307" s="6"/>
      <c r="H307" s="6"/>
      <c r="I307" s="6"/>
      <c r="J307" s="6"/>
    </row>
    <row r="308" spans="1:10">
      <c r="A308" s="16">
        <v>289</v>
      </c>
      <c r="B308" s="10">
        <f t="shared" si="20"/>
        <v>0</v>
      </c>
      <c r="C308" s="10">
        <f t="shared" si="21"/>
        <v>0</v>
      </c>
      <c r="D308" s="10">
        <f t="shared" si="22"/>
        <v>0</v>
      </c>
      <c r="E308" s="5">
        <f t="shared" si="23"/>
        <v>0</v>
      </c>
      <c r="F308" s="6"/>
      <c r="G308" s="6"/>
      <c r="H308" s="6"/>
      <c r="I308" s="6"/>
      <c r="J308" s="6"/>
    </row>
    <row r="309" spans="1:10">
      <c r="A309" s="16">
        <v>290</v>
      </c>
      <c r="B309" s="10">
        <f t="shared" si="20"/>
        <v>0</v>
      </c>
      <c r="C309" s="10">
        <f t="shared" si="21"/>
        <v>0</v>
      </c>
      <c r="D309" s="10">
        <f t="shared" si="22"/>
        <v>0</v>
      </c>
      <c r="E309" s="5">
        <f t="shared" si="23"/>
        <v>0</v>
      </c>
      <c r="F309" s="6"/>
      <c r="G309" s="6"/>
      <c r="H309" s="6"/>
      <c r="I309" s="6"/>
      <c r="J309" s="6"/>
    </row>
    <row r="310" spans="1:10">
      <c r="A310" s="16">
        <v>291</v>
      </c>
      <c r="B310" s="10">
        <f t="shared" si="20"/>
        <v>0</v>
      </c>
      <c r="C310" s="10">
        <f t="shared" si="21"/>
        <v>0</v>
      </c>
      <c r="D310" s="10">
        <f t="shared" si="22"/>
        <v>0</v>
      </c>
      <c r="E310" s="5">
        <f t="shared" si="23"/>
        <v>0</v>
      </c>
      <c r="F310" s="6"/>
      <c r="G310" s="6"/>
      <c r="H310" s="6"/>
      <c r="I310" s="6"/>
      <c r="J310" s="6"/>
    </row>
    <row r="311" spans="1:10">
      <c r="A311" s="16">
        <v>292</v>
      </c>
      <c r="B311" s="10">
        <f t="shared" si="20"/>
        <v>0</v>
      </c>
      <c r="C311" s="10">
        <f t="shared" si="21"/>
        <v>0</v>
      </c>
      <c r="D311" s="10">
        <f t="shared" si="22"/>
        <v>0</v>
      </c>
      <c r="E311" s="5">
        <f t="shared" si="23"/>
        <v>0</v>
      </c>
      <c r="F311" s="6"/>
      <c r="G311" s="6"/>
      <c r="H311" s="6"/>
      <c r="I311" s="6"/>
      <c r="J311" s="6"/>
    </row>
    <row r="312" spans="1:10">
      <c r="A312" s="16">
        <v>293</v>
      </c>
      <c r="B312" s="10">
        <f t="shared" si="20"/>
        <v>0</v>
      </c>
      <c r="C312" s="10">
        <f t="shared" si="21"/>
        <v>0</v>
      </c>
      <c r="D312" s="10">
        <f t="shared" si="22"/>
        <v>0</v>
      </c>
      <c r="E312" s="5">
        <f t="shared" si="23"/>
        <v>0</v>
      </c>
      <c r="F312" s="6"/>
      <c r="G312" s="6"/>
      <c r="H312" s="6"/>
      <c r="I312" s="6"/>
      <c r="J312" s="6"/>
    </row>
    <row r="313" spans="1:10">
      <c r="A313" s="16">
        <v>294</v>
      </c>
      <c r="B313" s="10">
        <f t="shared" si="20"/>
        <v>0</v>
      </c>
      <c r="C313" s="10">
        <f t="shared" si="21"/>
        <v>0</v>
      </c>
      <c r="D313" s="10">
        <f t="shared" si="22"/>
        <v>0</v>
      </c>
      <c r="E313" s="5">
        <f t="shared" si="23"/>
        <v>0</v>
      </c>
      <c r="F313" s="6"/>
      <c r="G313" s="6"/>
      <c r="H313" s="6"/>
      <c r="I313" s="6"/>
      <c r="J313" s="6"/>
    </row>
    <row r="314" spans="1:10">
      <c r="A314" s="16">
        <v>295</v>
      </c>
      <c r="B314" s="10">
        <f t="shared" si="20"/>
        <v>0</v>
      </c>
      <c r="C314" s="10">
        <f t="shared" si="21"/>
        <v>0</v>
      </c>
      <c r="D314" s="10">
        <f t="shared" si="22"/>
        <v>0</v>
      </c>
      <c r="E314" s="5">
        <f t="shared" si="23"/>
        <v>0</v>
      </c>
      <c r="F314" s="6"/>
      <c r="G314" s="6"/>
      <c r="H314" s="6"/>
      <c r="I314" s="6"/>
      <c r="J314" s="6"/>
    </row>
    <row r="315" spans="1:10">
      <c r="A315" s="16">
        <v>296</v>
      </c>
      <c r="B315" s="10">
        <f t="shared" si="20"/>
        <v>0</v>
      </c>
      <c r="C315" s="10">
        <f t="shared" si="21"/>
        <v>0</v>
      </c>
      <c r="D315" s="10">
        <f t="shared" si="22"/>
        <v>0</v>
      </c>
      <c r="E315" s="5">
        <f t="shared" si="23"/>
        <v>0</v>
      </c>
      <c r="F315" s="6"/>
      <c r="G315" s="6"/>
      <c r="H315" s="6"/>
      <c r="I315" s="6"/>
      <c r="J315" s="6"/>
    </row>
    <row r="316" spans="1:10">
      <c r="A316" s="16">
        <v>297</v>
      </c>
      <c r="B316" s="10">
        <f t="shared" si="20"/>
        <v>0</v>
      </c>
      <c r="C316" s="10">
        <f t="shared" si="21"/>
        <v>0</v>
      </c>
      <c r="D316" s="10">
        <f t="shared" si="22"/>
        <v>0</v>
      </c>
      <c r="E316" s="5">
        <f t="shared" si="23"/>
        <v>0</v>
      </c>
      <c r="F316" s="6"/>
      <c r="G316" s="6"/>
      <c r="H316" s="6"/>
      <c r="I316" s="6"/>
      <c r="J316" s="6"/>
    </row>
    <row r="317" spans="1:10">
      <c r="A317" s="16">
        <v>298</v>
      </c>
      <c r="B317" s="10">
        <f t="shared" si="20"/>
        <v>0</v>
      </c>
      <c r="C317" s="10">
        <f t="shared" si="21"/>
        <v>0</v>
      </c>
      <c r="D317" s="10">
        <f t="shared" si="22"/>
        <v>0</v>
      </c>
      <c r="E317" s="5">
        <f t="shared" si="23"/>
        <v>0</v>
      </c>
      <c r="F317" s="6"/>
      <c r="G317" s="6"/>
      <c r="H317" s="6"/>
      <c r="I317" s="6"/>
      <c r="J317" s="6"/>
    </row>
    <row r="318" spans="1:10">
      <c r="A318" s="16">
        <v>299</v>
      </c>
      <c r="B318" s="10">
        <f t="shared" si="20"/>
        <v>0</v>
      </c>
      <c r="C318" s="10">
        <f t="shared" si="21"/>
        <v>0</v>
      </c>
      <c r="D318" s="10">
        <f t="shared" si="22"/>
        <v>0</v>
      </c>
      <c r="E318" s="5">
        <f t="shared" si="23"/>
        <v>0</v>
      </c>
      <c r="F318" s="6"/>
      <c r="G318" s="6"/>
      <c r="H318" s="6"/>
      <c r="I318" s="6"/>
      <c r="J318" s="6"/>
    </row>
    <row r="319" spans="1:10">
      <c r="A319" s="16">
        <v>300</v>
      </c>
      <c r="B319" s="10">
        <f t="shared" si="20"/>
        <v>0</v>
      </c>
      <c r="C319" s="10">
        <f t="shared" si="21"/>
        <v>0</v>
      </c>
      <c r="D319" s="10">
        <f t="shared" si="22"/>
        <v>0</v>
      </c>
      <c r="E319" s="5">
        <f t="shared" si="23"/>
        <v>0</v>
      </c>
      <c r="F319" s="6"/>
      <c r="G319" s="6"/>
      <c r="H319" s="6"/>
      <c r="I319" s="6"/>
      <c r="J319" s="6"/>
    </row>
    <row r="320" spans="1:10">
      <c r="A320" s="16">
        <v>301</v>
      </c>
      <c r="B320" s="10">
        <f t="shared" si="20"/>
        <v>0</v>
      </c>
      <c r="C320" s="10">
        <f t="shared" si="21"/>
        <v>0</v>
      </c>
      <c r="D320" s="10">
        <f t="shared" si="22"/>
        <v>0</v>
      </c>
      <c r="E320" s="5">
        <f t="shared" si="23"/>
        <v>0</v>
      </c>
      <c r="F320" s="6"/>
      <c r="G320" s="6"/>
      <c r="H320" s="6"/>
      <c r="I320" s="6"/>
      <c r="J320" s="6"/>
    </row>
    <row r="321" spans="1:10">
      <c r="A321" s="16">
        <v>302</v>
      </c>
      <c r="B321" s="10">
        <f t="shared" si="20"/>
        <v>0</v>
      </c>
      <c r="C321" s="10">
        <f t="shared" si="21"/>
        <v>0</v>
      </c>
      <c r="D321" s="10">
        <f t="shared" si="22"/>
        <v>0</v>
      </c>
      <c r="E321" s="5">
        <f t="shared" si="23"/>
        <v>0</v>
      </c>
      <c r="F321" s="6"/>
      <c r="G321" s="6"/>
      <c r="H321" s="6"/>
      <c r="I321" s="6"/>
      <c r="J321" s="6"/>
    </row>
    <row r="322" spans="1:10">
      <c r="A322" s="16">
        <v>303</v>
      </c>
      <c r="B322" s="10">
        <f t="shared" si="20"/>
        <v>0</v>
      </c>
      <c r="C322" s="10">
        <f t="shared" si="21"/>
        <v>0</v>
      </c>
      <c r="D322" s="10">
        <f t="shared" si="22"/>
        <v>0</v>
      </c>
      <c r="E322" s="5">
        <f t="shared" si="23"/>
        <v>0</v>
      </c>
      <c r="F322" s="6"/>
      <c r="G322" s="6"/>
      <c r="H322" s="6"/>
      <c r="I322" s="6"/>
      <c r="J322" s="6"/>
    </row>
    <row r="323" spans="1:10">
      <c r="A323" s="16">
        <v>304</v>
      </c>
      <c r="B323" s="10">
        <f t="shared" si="20"/>
        <v>0</v>
      </c>
      <c r="C323" s="10">
        <f t="shared" si="21"/>
        <v>0</v>
      </c>
      <c r="D323" s="10">
        <f t="shared" si="22"/>
        <v>0</v>
      </c>
      <c r="E323" s="5">
        <f t="shared" si="23"/>
        <v>0</v>
      </c>
      <c r="F323" s="6"/>
      <c r="G323" s="6"/>
      <c r="H323" s="6"/>
      <c r="I323" s="6"/>
      <c r="J323" s="6"/>
    </row>
    <row r="324" spans="1:10">
      <c r="A324" s="16">
        <v>305</v>
      </c>
      <c r="B324" s="10">
        <f t="shared" si="20"/>
        <v>0</v>
      </c>
      <c r="C324" s="10">
        <f t="shared" si="21"/>
        <v>0</v>
      </c>
      <c r="D324" s="10">
        <f t="shared" si="22"/>
        <v>0</v>
      </c>
      <c r="E324" s="5">
        <f t="shared" si="23"/>
        <v>0</v>
      </c>
      <c r="F324" s="6"/>
      <c r="G324" s="6"/>
      <c r="H324" s="6"/>
      <c r="I324" s="6"/>
      <c r="J324" s="6"/>
    </row>
    <row r="325" spans="1:10">
      <c r="A325" s="16">
        <v>306</v>
      </c>
      <c r="B325" s="10">
        <f t="shared" si="20"/>
        <v>0</v>
      </c>
      <c r="C325" s="10">
        <f t="shared" si="21"/>
        <v>0</v>
      </c>
      <c r="D325" s="10">
        <f t="shared" si="22"/>
        <v>0</v>
      </c>
      <c r="E325" s="5">
        <f t="shared" si="23"/>
        <v>0</v>
      </c>
      <c r="F325" s="6"/>
      <c r="G325" s="6"/>
      <c r="H325" s="6"/>
      <c r="I325" s="6"/>
      <c r="J325" s="6"/>
    </row>
    <row r="326" spans="1:10">
      <c r="A326" s="16">
        <v>307</v>
      </c>
      <c r="B326" s="10">
        <f t="shared" si="20"/>
        <v>0</v>
      </c>
      <c r="C326" s="10">
        <f t="shared" si="21"/>
        <v>0</v>
      </c>
      <c r="D326" s="10">
        <f t="shared" si="22"/>
        <v>0</v>
      </c>
      <c r="E326" s="5">
        <f t="shared" si="23"/>
        <v>0</v>
      </c>
      <c r="F326" s="6"/>
      <c r="G326" s="6"/>
      <c r="H326" s="6"/>
      <c r="I326" s="6"/>
      <c r="J326" s="6"/>
    </row>
    <row r="327" spans="1:10">
      <c r="A327" s="16">
        <v>308</v>
      </c>
      <c r="B327" s="10">
        <f t="shared" si="20"/>
        <v>0</v>
      </c>
      <c r="C327" s="10">
        <f t="shared" si="21"/>
        <v>0</v>
      </c>
      <c r="D327" s="10">
        <f t="shared" si="22"/>
        <v>0</v>
      </c>
      <c r="E327" s="5">
        <f t="shared" si="23"/>
        <v>0</v>
      </c>
      <c r="F327" s="6"/>
      <c r="G327" s="6"/>
      <c r="H327" s="6"/>
      <c r="I327" s="6"/>
      <c r="J327" s="6"/>
    </row>
    <row r="328" spans="1:10">
      <c r="A328" s="16">
        <v>309</v>
      </c>
      <c r="B328" s="10">
        <f t="shared" si="20"/>
        <v>0</v>
      </c>
      <c r="C328" s="10">
        <f t="shared" si="21"/>
        <v>0</v>
      </c>
      <c r="D328" s="10">
        <f t="shared" si="22"/>
        <v>0</v>
      </c>
      <c r="E328" s="5">
        <f t="shared" si="23"/>
        <v>0</v>
      </c>
      <c r="F328" s="6"/>
      <c r="G328" s="6"/>
      <c r="H328" s="6"/>
      <c r="I328" s="6"/>
      <c r="J328" s="6"/>
    </row>
    <row r="329" spans="1:10">
      <c r="A329" s="16">
        <v>310</v>
      </c>
      <c r="B329" s="10">
        <f t="shared" si="20"/>
        <v>0</v>
      </c>
      <c r="C329" s="10">
        <f t="shared" si="21"/>
        <v>0</v>
      </c>
      <c r="D329" s="10">
        <f t="shared" si="22"/>
        <v>0</v>
      </c>
      <c r="E329" s="5">
        <f t="shared" si="23"/>
        <v>0</v>
      </c>
      <c r="F329" s="6"/>
      <c r="G329" s="6"/>
      <c r="H329" s="6"/>
      <c r="I329" s="6"/>
      <c r="J329" s="6"/>
    </row>
    <row r="330" spans="1:10">
      <c r="A330" s="16">
        <v>311</v>
      </c>
      <c r="B330" s="10">
        <f t="shared" si="20"/>
        <v>0</v>
      </c>
      <c r="C330" s="10">
        <f t="shared" si="21"/>
        <v>0</v>
      </c>
      <c r="D330" s="10">
        <f t="shared" si="22"/>
        <v>0</v>
      </c>
      <c r="E330" s="5">
        <f t="shared" si="23"/>
        <v>0</v>
      </c>
      <c r="F330" s="6"/>
      <c r="G330" s="6"/>
      <c r="H330" s="6"/>
      <c r="I330" s="6"/>
      <c r="J330" s="6"/>
    </row>
    <row r="331" spans="1:10">
      <c r="A331" s="16">
        <v>312</v>
      </c>
      <c r="B331" s="10">
        <f t="shared" si="20"/>
        <v>0</v>
      </c>
      <c r="C331" s="10">
        <f t="shared" si="21"/>
        <v>0</v>
      </c>
      <c r="D331" s="10">
        <f t="shared" si="22"/>
        <v>0</v>
      </c>
      <c r="E331" s="5">
        <f t="shared" si="23"/>
        <v>0</v>
      </c>
      <c r="F331" s="6"/>
      <c r="G331" s="6"/>
      <c r="H331" s="6"/>
      <c r="I331" s="6"/>
      <c r="J331" s="6"/>
    </row>
    <row r="332" spans="1:10">
      <c r="A332" s="16">
        <v>313</v>
      </c>
      <c r="B332" s="10">
        <f t="shared" si="20"/>
        <v>0</v>
      </c>
      <c r="C332" s="10">
        <f t="shared" si="21"/>
        <v>0</v>
      </c>
      <c r="D332" s="10">
        <f t="shared" si="22"/>
        <v>0</v>
      </c>
      <c r="E332" s="5">
        <f t="shared" si="23"/>
        <v>0</v>
      </c>
      <c r="F332" s="6"/>
      <c r="G332" s="6"/>
      <c r="H332" s="6"/>
      <c r="I332" s="6"/>
      <c r="J332" s="6"/>
    </row>
    <row r="333" spans="1:10">
      <c r="A333" s="16">
        <v>314</v>
      </c>
      <c r="B333" s="10">
        <f t="shared" si="20"/>
        <v>0</v>
      </c>
      <c r="C333" s="10">
        <f t="shared" si="21"/>
        <v>0</v>
      </c>
      <c r="D333" s="10">
        <f t="shared" si="22"/>
        <v>0</v>
      </c>
      <c r="E333" s="5">
        <f t="shared" si="23"/>
        <v>0</v>
      </c>
      <c r="F333" s="6"/>
      <c r="G333" s="6"/>
      <c r="H333" s="6"/>
      <c r="I333" s="6"/>
      <c r="J333" s="6"/>
    </row>
    <row r="334" spans="1:10">
      <c r="A334" s="16">
        <v>315</v>
      </c>
      <c r="B334" s="10">
        <f t="shared" si="20"/>
        <v>0</v>
      </c>
      <c r="C334" s="10">
        <f t="shared" si="21"/>
        <v>0</v>
      </c>
      <c r="D334" s="10">
        <f t="shared" si="22"/>
        <v>0</v>
      </c>
      <c r="E334" s="5">
        <f t="shared" si="23"/>
        <v>0</v>
      </c>
      <c r="F334" s="6"/>
      <c r="G334" s="6"/>
      <c r="H334" s="6"/>
      <c r="I334" s="6"/>
      <c r="J334" s="6"/>
    </row>
    <row r="335" spans="1:10">
      <c r="A335" s="16">
        <v>316</v>
      </c>
      <c r="B335" s="10">
        <f t="shared" si="20"/>
        <v>0</v>
      </c>
      <c r="C335" s="10">
        <f t="shared" si="21"/>
        <v>0</v>
      </c>
      <c r="D335" s="10">
        <f t="shared" si="22"/>
        <v>0</v>
      </c>
      <c r="E335" s="5">
        <f t="shared" si="23"/>
        <v>0</v>
      </c>
      <c r="F335" s="6"/>
      <c r="G335" s="6"/>
      <c r="H335" s="6"/>
      <c r="I335" s="6"/>
      <c r="J335" s="6"/>
    </row>
    <row r="336" spans="1:10">
      <c r="A336" s="16">
        <v>317</v>
      </c>
      <c r="B336" s="10">
        <f t="shared" si="20"/>
        <v>0</v>
      </c>
      <c r="C336" s="10">
        <f t="shared" si="21"/>
        <v>0</v>
      </c>
      <c r="D336" s="10">
        <f t="shared" si="22"/>
        <v>0</v>
      </c>
      <c r="E336" s="5">
        <f t="shared" si="23"/>
        <v>0</v>
      </c>
      <c r="F336" s="6"/>
      <c r="G336" s="6"/>
      <c r="H336" s="6"/>
      <c r="I336" s="6"/>
      <c r="J336" s="6"/>
    </row>
    <row r="337" spans="1:10">
      <c r="A337" s="16">
        <v>318</v>
      </c>
      <c r="B337" s="10">
        <f t="shared" si="20"/>
        <v>0</v>
      </c>
      <c r="C337" s="10">
        <f t="shared" si="21"/>
        <v>0</v>
      </c>
      <c r="D337" s="10">
        <f t="shared" si="22"/>
        <v>0</v>
      </c>
      <c r="E337" s="5">
        <f t="shared" si="23"/>
        <v>0</v>
      </c>
      <c r="F337" s="6"/>
      <c r="G337" s="6"/>
      <c r="H337" s="6"/>
      <c r="I337" s="6"/>
      <c r="J337" s="6"/>
    </row>
    <row r="338" spans="1:10">
      <c r="A338" s="16">
        <v>319</v>
      </c>
      <c r="B338" s="10">
        <f t="shared" si="20"/>
        <v>0</v>
      </c>
      <c r="C338" s="10">
        <f t="shared" si="21"/>
        <v>0</v>
      </c>
      <c r="D338" s="10">
        <f t="shared" si="22"/>
        <v>0</v>
      </c>
      <c r="E338" s="5">
        <f t="shared" si="23"/>
        <v>0</v>
      </c>
      <c r="F338" s="6"/>
      <c r="G338" s="6"/>
      <c r="H338" s="6"/>
      <c r="I338" s="6"/>
      <c r="J338" s="6"/>
    </row>
    <row r="339" spans="1:10">
      <c r="A339" s="16">
        <v>320</v>
      </c>
      <c r="B339" s="10">
        <f t="shared" si="20"/>
        <v>0</v>
      </c>
      <c r="C339" s="10">
        <f t="shared" si="21"/>
        <v>0</v>
      </c>
      <c r="D339" s="10">
        <f t="shared" si="22"/>
        <v>0</v>
      </c>
      <c r="E339" s="5">
        <f t="shared" si="23"/>
        <v>0</v>
      </c>
      <c r="F339" s="6"/>
      <c r="G339" s="6"/>
      <c r="H339" s="6"/>
      <c r="I339" s="6"/>
      <c r="J339" s="6"/>
    </row>
    <row r="340" spans="1:10">
      <c r="A340" s="16">
        <v>321</v>
      </c>
      <c r="B340" s="10">
        <f t="shared" ref="B340:B379" si="24">IF(A340&lt;=$D$5*12,B339-D340,0)</f>
        <v>0</v>
      </c>
      <c r="C340" s="10">
        <f t="shared" ref="C340:C379" si="25">IF(A340&lt;=$D$5*12,B339*$D$6/12,0)</f>
        <v>0</v>
      </c>
      <c r="D340" s="10">
        <f t="shared" si="22"/>
        <v>0</v>
      </c>
      <c r="E340" s="5">
        <f t="shared" si="23"/>
        <v>0</v>
      </c>
      <c r="F340" s="6"/>
      <c r="G340" s="6"/>
      <c r="H340" s="6"/>
      <c r="I340" s="6"/>
      <c r="J340" s="6"/>
    </row>
    <row r="341" spans="1:10">
      <c r="A341" s="16">
        <v>322</v>
      </c>
      <c r="B341" s="10">
        <f t="shared" si="24"/>
        <v>0</v>
      </c>
      <c r="C341" s="10">
        <f t="shared" si="25"/>
        <v>0</v>
      </c>
      <c r="D341" s="10">
        <f t="shared" ref="D341:D379" si="26">IF($D$3="Annuitätendarlehen",IF(A341&lt;=$D$5*12,E341-C341,0),IF($D$3="Ratendarlehen",IF(AND(A341&lt;=$D$5*12,A341&gt;$D$7),$D$4/($D$5*12-$D$7),0),IF($D$3="Restwertdarlehen",IF(A341=$D$5*12,$D$4,0),0)))</f>
        <v>0</v>
      </c>
      <c r="E341" s="5">
        <f t="shared" ref="E341:E379" si="27">IF($D$3="Annuitätendarlehen",IF(AND(A341&lt;=$D$5*12,A341&gt;$D$7),PMT($D$6/12,$D$5*12-$D$7,-$D$4,$D$8,0),IF(A341&lt;=$D$7,C341,0)),IF($D$3="Ratendarlehen",IF(AND(A341&lt;=$D$5*12,A341&gt;$D$7),$D$4/($D$5*12-$D$7)+C341,IF(A341&lt;=$D$7,C341,0)),IF(AND($D$3="Restwertdarlehen",A341&lt;=$D$5*12),C341+D341,0)))</f>
        <v>0</v>
      </c>
      <c r="F341" s="6"/>
      <c r="G341" s="6"/>
      <c r="H341" s="6"/>
      <c r="I341" s="6"/>
      <c r="J341" s="6"/>
    </row>
    <row r="342" spans="1:10">
      <c r="A342" s="16">
        <v>323</v>
      </c>
      <c r="B342" s="10">
        <f t="shared" si="24"/>
        <v>0</v>
      </c>
      <c r="C342" s="10">
        <f t="shared" si="25"/>
        <v>0</v>
      </c>
      <c r="D342" s="10">
        <f t="shared" si="26"/>
        <v>0</v>
      </c>
      <c r="E342" s="5">
        <f t="shared" si="27"/>
        <v>0</v>
      </c>
      <c r="F342" s="6"/>
      <c r="G342" s="6"/>
      <c r="H342" s="6"/>
      <c r="I342" s="6"/>
      <c r="J342" s="6"/>
    </row>
    <row r="343" spans="1:10">
      <c r="A343" s="16">
        <v>324</v>
      </c>
      <c r="B343" s="10">
        <f t="shared" si="24"/>
        <v>0</v>
      </c>
      <c r="C343" s="10">
        <f t="shared" si="25"/>
        <v>0</v>
      </c>
      <c r="D343" s="10">
        <f t="shared" si="26"/>
        <v>0</v>
      </c>
      <c r="E343" s="5">
        <f t="shared" si="27"/>
        <v>0</v>
      </c>
      <c r="F343" s="6"/>
      <c r="G343" s="6"/>
      <c r="H343" s="6"/>
      <c r="I343" s="6"/>
      <c r="J343" s="6"/>
    </row>
    <row r="344" spans="1:10">
      <c r="A344" s="16">
        <v>325</v>
      </c>
      <c r="B344" s="10">
        <f t="shared" si="24"/>
        <v>0</v>
      </c>
      <c r="C344" s="10">
        <f t="shared" si="25"/>
        <v>0</v>
      </c>
      <c r="D344" s="10">
        <f t="shared" si="26"/>
        <v>0</v>
      </c>
      <c r="E344" s="5">
        <f t="shared" si="27"/>
        <v>0</v>
      </c>
      <c r="F344" s="6"/>
      <c r="G344" s="6"/>
      <c r="H344" s="6"/>
      <c r="I344" s="6"/>
      <c r="J344" s="6"/>
    </row>
    <row r="345" spans="1:10">
      <c r="A345" s="16">
        <v>326</v>
      </c>
      <c r="B345" s="10">
        <f t="shared" si="24"/>
        <v>0</v>
      </c>
      <c r="C345" s="10">
        <f t="shared" si="25"/>
        <v>0</v>
      </c>
      <c r="D345" s="10">
        <f t="shared" si="26"/>
        <v>0</v>
      </c>
      <c r="E345" s="5">
        <f t="shared" si="27"/>
        <v>0</v>
      </c>
      <c r="F345" s="6"/>
      <c r="G345" s="6"/>
      <c r="H345" s="6"/>
      <c r="I345" s="6"/>
      <c r="J345" s="6"/>
    </row>
    <row r="346" spans="1:10">
      <c r="A346" s="16">
        <v>327</v>
      </c>
      <c r="B346" s="10">
        <f t="shared" si="24"/>
        <v>0</v>
      </c>
      <c r="C346" s="10">
        <f t="shared" si="25"/>
        <v>0</v>
      </c>
      <c r="D346" s="10">
        <f t="shared" si="26"/>
        <v>0</v>
      </c>
      <c r="E346" s="5">
        <f t="shared" si="27"/>
        <v>0</v>
      </c>
      <c r="F346" s="6"/>
      <c r="G346" s="6"/>
      <c r="H346" s="6"/>
      <c r="I346" s="6"/>
      <c r="J346" s="6"/>
    </row>
    <row r="347" spans="1:10">
      <c r="A347" s="16">
        <v>328</v>
      </c>
      <c r="B347" s="10">
        <f t="shared" si="24"/>
        <v>0</v>
      </c>
      <c r="C347" s="10">
        <f t="shared" si="25"/>
        <v>0</v>
      </c>
      <c r="D347" s="10">
        <f t="shared" si="26"/>
        <v>0</v>
      </c>
      <c r="E347" s="5">
        <f t="shared" si="27"/>
        <v>0</v>
      </c>
      <c r="F347" s="6"/>
      <c r="G347" s="6"/>
      <c r="H347" s="6"/>
      <c r="I347" s="6"/>
      <c r="J347" s="6"/>
    </row>
    <row r="348" spans="1:10">
      <c r="A348" s="16">
        <v>329</v>
      </c>
      <c r="B348" s="10">
        <f t="shared" si="24"/>
        <v>0</v>
      </c>
      <c r="C348" s="10">
        <f t="shared" si="25"/>
        <v>0</v>
      </c>
      <c r="D348" s="10">
        <f t="shared" si="26"/>
        <v>0</v>
      </c>
      <c r="E348" s="5">
        <f t="shared" si="27"/>
        <v>0</v>
      </c>
      <c r="F348" s="6"/>
      <c r="G348" s="6"/>
      <c r="H348" s="6"/>
      <c r="I348" s="6"/>
      <c r="J348" s="6"/>
    </row>
    <row r="349" spans="1:10">
      <c r="A349" s="16">
        <v>330</v>
      </c>
      <c r="B349" s="10">
        <f t="shared" si="24"/>
        <v>0</v>
      </c>
      <c r="C349" s="10">
        <f t="shared" si="25"/>
        <v>0</v>
      </c>
      <c r="D349" s="10">
        <f t="shared" si="26"/>
        <v>0</v>
      </c>
      <c r="E349" s="5">
        <f t="shared" si="27"/>
        <v>0</v>
      </c>
      <c r="F349" s="6"/>
      <c r="G349" s="6"/>
      <c r="H349" s="6"/>
      <c r="I349" s="6"/>
      <c r="J349" s="6"/>
    </row>
    <row r="350" spans="1:10">
      <c r="A350" s="16">
        <v>331</v>
      </c>
      <c r="B350" s="10">
        <f t="shared" si="24"/>
        <v>0</v>
      </c>
      <c r="C350" s="10">
        <f t="shared" si="25"/>
        <v>0</v>
      </c>
      <c r="D350" s="10">
        <f t="shared" si="26"/>
        <v>0</v>
      </c>
      <c r="E350" s="5">
        <f t="shared" si="27"/>
        <v>0</v>
      </c>
      <c r="F350" s="6"/>
      <c r="G350" s="6"/>
      <c r="H350" s="6"/>
      <c r="I350" s="6"/>
      <c r="J350" s="6"/>
    </row>
    <row r="351" spans="1:10">
      <c r="A351" s="16">
        <v>332</v>
      </c>
      <c r="B351" s="10">
        <f t="shared" si="24"/>
        <v>0</v>
      </c>
      <c r="C351" s="10">
        <f t="shared" si="25"/>
        <v>0</v>
      </c>
      <c r="D351" s="10">
        <f t="shared" si="26"/>
        <v>0</v>
      </c>
      <c r="E351" s="5">
        <f t="shared" si="27"/>
        <v>0</v>
      </c>
      <c r="F351" s="6"/>
      <c r="G351" s="6"/>
      <c r="H351" s="6"/>
      <c r="I351" s="6"/>
      <c r="J351" s="6"/>
    </row>
    <row r="352" spans="1:10">
      <c r="A352" s="16">
        <v>333</v>
      </c>
      <c r="B352" s="10">
        <f t="shared" si="24"/>
        <v>0</v>
      </c>
      <c r="C352" s="10">
        <f t="shared" si="25"/>
        <v>0</v>
      </c>
      <c r="D352" s="10">
        <f t="shared" si="26"/>
        <v>0</v>
      </c>
      <c r="E352" s="5">
        <f t="shared" si="27"/>
        <v>0</v>
      </c>
      <c r="F352" s="6"/>
      <c r="G352" s="6"/>
      <c r="H352" s="6"/>
      <c r="I352" s="6"/>
      <c r="J352" s="6"/>
    </row>
    <row r="353" spans="1:10">
      <c r="A353" s="16">
        <v>334</v>
      </c>
      <c r="B353" s="10">
        <f t="shared" si="24"/>
        <v>0</v>
      </c>
      <c r="C353" s="10">
        <f t="shared" si="25"/>
        <v>0</v>
      </c>
      <c r="D353" s="10">
        <f t="shared" si="26"/>
        <v>0</v>
      </c>
      <c r="E353" s="5">
        <f t="shared" si="27"/>
        <v>0</v>
      </c>
      <c r="F353" s="6"/>
      <c r="G353" s="6"/>
      <c r="H353" s="6"/>
      <c r="I353" s="6"/>
      <c r="J353" s="6"/>
    </row>
    <row r="354" spans="1:10">
      <c r="A354" s="16">
        <v>335</v>
      </c>
      <c r="B354" s="10">
        <f t="shared" si="24"/>
        <v>0</v>
      </c>
      <c r="C354" s="10">
        <f t="shared" si="25"/>
        <v>0</v>
      </c>
      <c r="D354" s="10">
        <f t="shared" si="26"/>
        <v>0</v>
      </c>
      <c r="E354" s="5">
        <f t="shared" si="27"/>
        <v>0</v>
      </c>
      <c r="F354" s="6"/>
      <c r="G354" s="6"/>
      <c r="H354" s="6"/>
      <c r="I354" s="6"/>
      <c r="J354" s="6"/>
    </row>
    <row r="355" spans="1:10">
      <c r="A355" s="16">
        <v>336</v>
      </c>
      <c r="B355" s="10">
        <f t="shared" si="24"/>
        <v>0</v>
      </c>
      <c r="C355" s="10">
        <f t="shared" si="25"/>
        <v>0</v>
      </c>
      <c r="D355" s="10">
        <f t="shared" si="26"/>
        <v>0</v>
      </c>
      <c r="E355" s="5">
        <f t="shared" si="27"/>
        <v>0</v>
      </c>
      <c r="F355" s="6"/>
      <c r="G355" s="6"/>
      <c r="H355" s="6"/>
      <c r="I355" s="6"/>
      <c r="J355" s="6"/>
    </row>
    <row r="356" spans="1:10">
      <c r="A356" s="16">
        <v>337</v>
      </c>
      <c r="B356" s="10">
        <f t="shared" si="24"/>
        <v>0</v>
      </c>
      <c r="C356" s="10">
        <f t="shared" si="25"/>
        <v>0</v>
      </c>
      <c r="D356" s="10">
        <f t="shared" si="26"/>
        <v>0</v>
      </c>
      <c r="E356" s="5">
        <f t="shared" si="27"/>
        <v>0</v>
      </c>
      <c r="F356" s="6"/>
      <c r="G356" s="6"/>
      <c r="H356" s="6"/>
      <c r="I356" s="6"/>
      <c r="J356" s="6"/>
    </row>
    <row r="357" spans="1:10">
      <c r="A357" s="16">
        <v>338</v>
      </c>
      <c r="B357" s="10">
        <f t="shared" si="24"/>
        <v>0</v>
      </c>
      <c r="C357" s="10">
        <f t="shared" si="25"/>
        <v>0</v>
      </c>
      <c r="D357" s="10">
        <f t="shared" si="26"/>
        <v>0</v>
      </c>
      <c r="E357" s="5">
        <f t="shared" si="27"/>
        <v>0</v>
      </c>
      <c r="F357" s="6"/>
      <c r="G357" s="6"/>
      <c r="H357" s="6"/>
      <c r="I357" s="6"/>
      <c r="J357" s="6"/>
    </row>
    <row r="358" spans="1:10">
      <c r="A358" s="16">
        <v>339</v>
      </c>
      <c r="B358" s="10">
        <f t="shared" si="24"/>
        <v>0</v>
      </c>
      <c r="C358" s="10">
        <f t="shared" si="25"/>
        <v>0</v>
      </c>
      <c r="D358" s="10">
        <f t="shared" si="26"/>
        <v>0</v>
      </c>
      <c r="E358" s="5">
        <f t="shared" si="27"/>
        <v>0</v>
      </c>
      <c r="F358" s="6"/>
      <c r="G358" s="6"/>
      <c r="H358" s="6"/>
      <c r="I358" s="6"/>
      <c r="J358" s="6"/>
    </row>
    <row r="359" spans="1:10">
      <c r="A359" s="16">
        <v>340</v>
      </c>
      <c r="B359" s="10">
        <f t="shared" si="24"/>
        <v>0</v>
      </c>
      <c r="C359" s="10">
        <f t="shared" si="25"/>
        <v>0</v>
      </c>
      <c r="D359" s="10">
        <f t="shared" si="26"/>
        <v>0</v>
      </c>
      <c r="E359" s="5">
        <f t="shared" si="27"/>
        <v>0</v>
      </c>
      <c r="F359" s="6"/>
      <c r="G359" s="6"/>
      <c r="H359" s="6"/>
      <c r="I359" s="6"/>
      <c r="J359" s="6"/>
    </row>
    <row r="360" spans="1:10">
      <c r="A360" s="16">
        <v>341</v>
      </c>
      <c r="B360" s="10">
        <f t="shared" si="24"/>
        <v>0</v>
      </c>
      <c r="C360" s="10">
        <f t="shared" si="25"/>
        <v>0</v>
      </c>
      <c r="D360" s="10">
        <f t="shared" si="26"/>
        <v>0</v>
      </c>
      <c r="E360" s="5">
        <f t="shared" si="27"/>
        <v>0</v>
      </c>
      <c r="F360" s="6"/>
      <c r="G360" s="6"/>
      <c r="H360" s="6"/>
      <c r="I360" s="6"/>
      <c r="J360" s="6"/>
    </row>
    <row r="361" spans="1:10">
      <c r="A361" s="16">
        <v>342</v>
      </c>
      <c r="B361" s="10">
        <f t="shared" si="24"/>
        <v>0</v>
      </c>
      <c r="C361" s="10">
        <f t="shared" si="25"/>
        <v>0</v>
      </c>
      <c r="D361" s="10">
        <f t="shared" si="26"/>
        <v>0</v>
      </c>
      <c r="E361" s="5">
        <f t="shared" si="27"/>
        <v>0</v>
      </c>
      <c r="F361" s="6"/>
      <c r="G361" s="6"/>
      <c r="H361" s="6"/>
      <c r="I361" s="6"/>
      <c r="J361" s="6"/>
    </row>
    <row r="362" spans="1:10">
      <c r="A362" s="16">
        <v>343</v>
      </c>
      <c r="B362" s="10">
        <f t="shared" si="24"/>
        <v>0</v>
      </c>
      <c r="C362" s="10">
        <f t="shared" si="25"/>
        <v>0</v>
      </c>
      <c r="D362" s="10">
        <f t="shared" si="26"/>
        <v>0</v>
      </c>
      <c r="E362" s="5">
        <f t="shared" si="27"/>
        <v>0</v>
      </c>
      <c r="F362" s="6"/>
      <c r="G362" s="6"/>
      <c r="H362" s="6"/>
      <c r="I362" s="6"/>
      <c r="J362" s="6"/>
    </row>
    <row r="363" spans="1:10">
      <c r="A363" s="16">
        <v>344</v>
      </c>
      <c r="B363" s="10">
        <f t="shared" si="24"/>
        <v>0</v>
      </c>
      <c r="C363" s="10">
        <f t="shared" si="25"/>
        <v>0</v>
      </c>
      <c r="D363" s="10">
        <f t="shared" si="26"/>
        <v>0</v>
      </c>
      <c r="E363" s="5">
        <f t="shared" si="27"/>
        <v>0</v>
      </c>
      <c r="F363" s="6"/>
      <c r="G363" s="6"/>
      <c r="H363" s="6"/>
      <c r="I363" s="6"/>
      <c r="J363" s="6"/>
    </row>
    <row r="364" spans="1:10">
      <c r="A364" s="16">
        <v>345</v>
      </c>
      <c r="B364" s="10">
        <f t="shared" si="24"/>
        <v>0</v>
      </c>
      <c r="C364" s="10">
        <f t="shared" si="25"/>
        <v>0</v>
      </c>
      <c r="D364" s="10">
        <f t="shared" si="26"/>
        <v>0</v>
      </c>
      <c r="E364" s="5">
        <f t="shared" si="27"/>
        <v>0</v>
      </c>
      <c r="F364" s="6"/>
      <c r="G364" s="6"/>
      <c r="H364" s="6"/>
      <c r="I364" s="6"/>
      <c r="J364" s="6"/>
    </row>
    <row r="365" spans="1:10">
      <c r="A365" s="16">
        <v>346</v>
      </c>
      <c r="B365" s="10">
        <f t="shared" si="24"/>
        <v>0</v>
      </c>
      <c r="C365" s="10">
        <f t="shared" si="25"/>
        <v>0</v>
      </c>
      <c r="D365" s="10">
        <f t="shared" si="26"/>
        <v>0</v>
      </c>
      <c r="E365" s="5">
        <f t="shared" si="27"/>
        <v>0</v>
      </c>
      <c r="F365" s="6"/>
      <c r="G365" s="6"/>
      <c r="H365" s="6"/>
      <c r="I365" s="6"/>
      <c r="J365" s="6"/>
    </row>
    <row r="366" spans="1:10">
      <c r="A366" s="16">
        <v>347</v>
      </c>
      <c r="B366" s="10">
        <f t="shared" si="24"/>
        <v>0</v>
      </c>
      <c r="C366" s="10">
        <f t="shared" si="25"/>
        <v>0</v>
      </c>
      <c r="D366" s="10">
        <f t="shared" si="26"/>
        <v>0</v>
      </c>
      <c r="E366" s="5">
        <f t="shared" si="27"/>
        <v>0</v>
      </c>
      <c r="F366" s="6"/>
      <c r="G366" s="6"/>
      <c r="H366" s="6"/>
      <c r="I366" s="6"/>
      <c r="J366" s="6"/>
    </row>
    <row r="367" spans="1:10">
      <c r="A367" s="16">
        <v>348</v>
      </c>
      <c r="B367" s="10">
        <f t="shared" si="24"/>
        <v>0</v>
      </c>
      <c r="C367" s="10">
        <f t="shared" si="25"/>
        <v>0</v>
      </c>
      <c r="D367" s="10">
        <f t="shared" si="26"/>
        <v>0</v>
      </c>
      <c r="E367" s="5">
        <f t="shared" si="27"/>
        <v>0</v>
      </c>
      <c r="F367" s="6"/>
      <c r="G367" s="6"/>
      <c r="H367" s="6"/>
      <c r="I367" s="6"/>
      <c r="J367" s="6"/>
    </row>
    <row r="368" spans="1:10">
      <c r="A368" s="16">
        <v>349</v>
      </c>
      <c r="B368" s="10">
        <f t="shared" si="24"/>
        <v>0</v>
      </c>
      <c r="C368" s="10">
        <f t="shared" si="25"/>
        <v>0</v>
      </c>
      <c r="D368" s="10">
        <f t="shared" si="26"/>
        <v>0</v>
      </c>
      <c r="E368" s="5">
        <f t="shared" si="27"/>
        <v>0</v>
      </c>
      <c r="F368" s="6"/>
      <c r="G368" s="6"/>
      <c r="H368" s="6"/>
      <c r="I368" s="6"/>
      <c r="J368" s="6"/>
    </row>
    <row r="369" spans="1:10">
      <c r="A369" s="16">
        <v>350</v>
      </c>
      <c r="B369" s="10">
        <f t="shared" si="24"/>
        <v>0</v>
      </c>
      <c r="C369" s="10">
        <f t="shared" si="25"/>
        <v>0</v>
      </c>
      <c r="D369" s="10">
        <f t="shared" si="26"/>
        <v>0</v>
      </c>
      <c r="E369" s="5">
        <f t="shared" si="27"/>
        <v>0</v>
      </c>
      <c r="F369" s="6"/>
      <c r="G369" s="6"/>
      <c r="H369" s="6"/>
      <c r="I369" s="6"/>
      <c r="J369" s="6"/>
    </row>
    <row r="370" spans="1:10">
      <c r="A370" s="16">
        <v>351</v>
      </c>
      <c r="B370" s="10">
        <f t="shared" si="24"/>
        <v>0</v>
      </c>
      <c r="C370" s="10">
        <f t="shared" si="25"/>
        <v>0</v>
      </c>
      <c r="D370" s="10">
        <f t="shared" si="26"/>
        <v>0</v>
      </c>
      <c r="E370" s="5">
        <f t="shared" si="27"/>
        <v>0</v>
      </c>
      <c r="F370" s="6"/>
      <c r="G370" s="6"/>
      <c r="H370" s="6"/>
      <c r="I370" s="6"/>
      <c r="J370" s="6"/>
    </row>
    <row r="371" spans="1:10">
      <c r="A371" s="16">
        <v>352</v>
      </c>
      <c r="B371" s="10">
        <f t="shared" si="24"/>
        <v>0</v>
      </c>
      <c r="C371" s="10">
        <f t="shared" si="25"/>
        <v>0</v>
      </c>
      <c r="D371" s="10">
        <f t="shared" si="26"/>
        <v>0</v>
      </c>
      <c r="E371" s="5">
        <f t="shared" si="27"/>
        <v>0</v>
      </c>
      <c r="F371" s="6"/>
      <c r="G371" s="6"/>
      <c r="H371" s="6"/>
      <c r="I371" s="6"/>
      <c r="J371" s="6"/>
    </row>
    <row r="372" spans="1:10">
      <c r="A372" s="16">
        <v>353</v>
      </c>
      <c r="B372" s="10">
        <f t="shared" si="24"/>
        <v>0</v>
      </c>
      <c r="C372" s="10">
        <f t="shared" si="25"/>
        <v>0</v>
      </c>
      <c r="D372" s="10">
        <f t="shared" si="26"/>
        <v>0</v>
      </c>
      <c r="E372" s="5">
        <f t="shared" si="27"/>
        <v>0</v>
      </c>
      <c r="F372" s="6"/>
      <c r="G372" s="6"/>
      <c r="H372" s="6"/>
      <c r="I372" s="6"/>
      <c r="J372" s="6"/>
    </row>
    <row r="373" spans="1:10">
      <c r="A373" s="16">
        <v>354</v>
      </c>
      <c r="B373" s="10">
        <f t="shared" si="24"/>
        <v>0</v>
      </c>
      <c r="C373" s="10">
        <f t="shared" si="25"/>
        <v>0</v>
      </c>
      <c r="D373" s="10">
        <f t="shared" si="26"/>
        <v>0</v>
      </c>
      <c r="E373" s="5">
        <f t="shared" si="27"/>
        <v>0</v>
      </c>
      <c r="F373" s="6"/>
      <c r="G373" s="6"/>
      <c r="H373" s="6"/>
      <c r="I373" s="6"/>
      <c r="J373" s="6"/>
    </row>
    <row r="374" spans="1:10">
      <c r="A374" s="16">
        <v>355</v>
      </c>
      <c r="B374" s="10">
        <f t="shared" si="24"/>
        <v>0</v>
      </c>
      <c r="C374" s="10">
        <f t="shared" si="25"/>
        <v>0</v>
      </c>
      <c r="D374" s="10">
        <f t="shared" si="26"/>
        <v>0</v>
      </c>
      <c r="E374" s="5">
        <f t="shared" si="27"/>
        <v>0</v>
      </c>
      <c r="F374" s="6"/>
      <c r="G374" s="6"/>
      <c r="H374" s="6"/>
      <c r="I374" s="6"/>
      <c r="J374" s="6"/>
    </row>
    <row r="375" spans="1:10">
      <c r="A375" s="16">
        <v>356</v>
      </c>
      <c r="B375" s="10">
        <f t="shared" si="24"/>
        <v>0</v>
      </c>
      <c r="C375" s="10">
        <f t="shared" si="25"/>
        <v>0</v>
      </c>
      <c r="D375" s="10">
        <f t="shared" si="26"/>
        <v>0</v>
      </c>
      <c r="E375" s="5">
        <f t="shared" si="27"/>
        <v>0</v>
      </c>
      <c r="F375" s="6"/>
      <c r="G375" s="6"/>
      <c r="H375" s="6"/>
      <c r="I375" s="6"/>
      <c r="J375" s="6"/>
    </row>
    <row r="376" spans="1:10">
      <c r="A376" s="16">
        <v>357</v>
      </c>
      <c r="B376" s="10">
        <f t="shared" si="24"/>
        <v>0</v>
      </c>
      <c r="C376" s="10">
        <f t="shared" si="25"/>
        <v>0</v>
      </c>
      <c r="D376" s="10">
        <f t="shared" si="26"/>
        <v>0</v>
      </c>
      <c r="E376" s="5">
        <f t="shared" si="27"/>
        <v>0</v>
      </c>
      <c r="F376" s="6"/>
      <c r="G376" s="6"/>
      <c r="H376" s="6"/>
      <c r="I376" s="6"/>
      <c r="J376" s="6"/>
    </row>
    <row r="377" spans="1:10">
      <c r="A377" s="16">
        <v>358</v>
      </c>
      <c r="B377" s="10">
        <f t="shared" si="24"/>
        <v>0</v>
      </c>
      <c r="C377" s="10">
        <f t="shared" si="25"/>
        <v>0</v>
      </c>
      <c r="D377" s="10">
        <f t="shared" si="26"/>
        <v>0</v>
      </c>
      <c r="E377" s="5">
        <f t="shared" si="27"/>
        <v>0</v>
      </c>
      <c r="F377" s="6"/>
      <c r="G377" s="6"/>
      <c r="H377" s="6"/>
      <c r="I377" s="6"/>
      <c r="J377" s="6"/>
    </row>
    <row r="378" spans="1:10">
      <c r="A378" s="16">
        <v>359</v>
      </c>
      <c r="B378" s="10">
        <f t="shared" si="24"/>
        <v>0</v>
      </c>
      <c r="C378" s="10">
        <f t="shared" si="25"/>
        <v>0</v>
      </c>
      <c r="D378" s="10">
        <f t="shared" si="26"/>
        <v>0</v>
      </c>
      <c r="E378" s="5">
        <f t="shared" si="27"/>
        <v>0</v>
      </c>
      <c r="F378" s="6"/>
      <c r="G378" s="6"/>
      <c r="H378" s="6"/>
      <c r="I378" s="6"/>
      <c r="J378" s="6"/>
    </row>
    <row r="379" spans="1:10">
      <c r="A379" s="16">
        <v>360</v>
      </c>
      <c r="B379" s="10">
        <f t="shared" si="24"/>
        <v>0</v>
      </c>
      <c r="C379" s="10">
        <f t="shared" si="25"/>
        <v>0</v>
      </c>
      <c r="D379" s="10">
        <f t="shared" si="26"/>
        <v>0</v>
      </c>
      <c r="E379" s="5">
        <f t="shared" si="27"/>
        <v>0</v>
      </c>
      <c r="F379" s="6"/>
      <c r="G379" s="6"/>
      <c r="H379" s="6"/>
      <c r="I379" s="6"/>
      <c r="J379" s="6"/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/>
  <dimension ref="A1:J379"/>
  <sheetViews>
    <sheetView workbookViewId="0">
      <selection activeCell="D6" sqref="D6"/>
    </sheetView>
  </sheetViews>
  <sheetFormatPr baseColWidth="10" defaultRowHeight="14.25"/>
  <cols>
    <col min="1" max="1" width="10.625" customWidth="1"/>
  </cols>
  <sheetData>
    <row r="1" spans="1:10" ht="15">
      <c r="A1" s="256" t="s">
        <v>40</v>
      </c>
      <c r="B1" s="257"/>
      <c r="C1" s="257"/>
      <c r="D1" s="257"/>
      <c r="E1" s="257"/>
      <c r="F1" s="257"/>
      <c r="G1" s="257"/>
      <c r="H1" s="257"/>
      <c r="I1" s="257"/>
      <c r="J1" s="257"/>
    </row>
    <row r="3" spans="1:10">
      <c r="A3" t="s">
        <v>74</v>
      </c>
      <c r="D3" t="str">
        <f>IF(Finanzierung!E20="","",Finanzierung!E20)</f>
        <v>Restwertdarlehen</v>
      </c>
    </row>
    <row r="4" spans="1:10">
      <c r="A4" t="s">
        <v>32</v>
      </c>
      <c r="D4" s="2">
        <f>Finanzierung!E21</f>
        <v>3333</v>
      </c>
    </row>
    <row r="5" spans="1:10">
      <c r="A5" t="s">
        <v>34</v>
      </c>
      <c r="D5" s="13">
        <f>Finanzierung!E22</f>
        <v>10</v>
      </c>
      <c r="E5" t="s">
        <v>33</v>
      </c>
    </row>
    <row r="6" spans="1:10">
      <c r="A6" t="s">
        <v>75</v>
      </c>
      <c r="D6" s="1">
        <f>Finanzierung!E23/100</f>
        <v>0.02</v>
      </c>
    </row>
    <row r="7" spans="1:10">
      <c r="A7" t="s">
        <v>76</v>
      </c>
      <c r="D7" s="13">
        <f>Finanzierung!E24</f>
        <v>6</v>
      </c>
      <c r="E7" t="s">
        <v>37</v>
      </c>
    </row>
    <row r="8" spans="1:10">
      <c r="A8" t="s">
        <v>70</v>
      </c>
      <c r="D8" s="2">
        <f>Finanzierung!E25</f>
        <v>0</v>
      </c>
    </row>
    <row r="9" spans="1:10">
      <c r="A9" t="s">
        <v>81</v>
      </c>
      <c r="D9">
        <f>13-F9</f>
        <v>5</v>
      </c>
      <c r="E9" t="s">
        <v>80</v>
      </c>
      <c r="F9">
        <f>DATEDIF(EOMONTH(Eingabe!E12,-1),DATE(YEAR(Eingabe!E12),12,31),"m")</f>
        <v>8</v>
      </c>
      <c r="G9" t="s">
        <v>37</v>
      </c>
    </row>
    <row r="14" spans="1:10" ht="15" thickBot="1"/>
    <row r="15" spans="1:10" ht="15" thickTop="1">
      <c r="A15" s="7" t="s">
        <v>77</v>
      </c>
      <c r="B15" s="7"/>
      <c r="C15" s="7"/>
      <c r="D15" s="7"/>
      <c r="E15" s="7"/>
      <c r="F15" s="7"/>
      <c r="G15" s="7" t="s">
        <v>69</v>
      </c>
      <c r="H15" s="7"/>
      <c r="I15" s="7"/>
      <c r="J15" s="7"/>
    </row>
    <row r="16" spans="1:10">
      <c r="A16" s="6"/>
      <c r="B16" s="6"/>
      <c r="C16" s="6"/>
      <c r="D16" s="6"/>
      <c r="E16" s="3"/>
      <c r="F16" s="6"/>
      <c r="G16" s="6"/>
      <c r="H16" s="6"/>
      <c r="I16" s="6"/>
      <c r="J16" s="6"/>
    </row>
    <row r="17" spans="1:10">
      <c r="A17" s="14" t="s">
        <v>68</v>
      </c>
      <c r="B17" s="8" t="s">
        <v>70</v>
      </c>
      <c r="C17" s="8" t="s">
        <v>67</v>
      </c>
      <c r="D17" s="8" t="s">
        <v>71</v>
      </c>
      <c r="E17" s="9" t="s">
        <v>72</v>
      </c>
      <c r="F17" s="17" t="s">
        <v>73</v>
      </c>
      <c r="G17" s="9" t="s">
        <v>70</v>
      </c>
      <c r="H17" s="9" t="s">
        <v>67</v>
      </c>
      <c r="I17" s="9" t="s">
        <v>71</v>
      </c>
      <c r="J17" s="9" t="s">
        <v>72</v>
      </c>
    </row>
    <row r="18" spans="1:10">
      <c r="A18" s="15"/>
      <c r="B18" s="6"/>
      <c r="C18" s="6"/>
      <c r="D18" s="6"/>
      <c r="E18" s="3"/>
      <c r="F18" s="18"/>
      <c r="G18" s="6"/>
      <c r="H18" s="6"/>
      <c r="I18" s="6"/>
      <c r="J18" s="6"/>
    </row>
    <row r="19" spans="1:10">
      <c r="A19" s="16">
        <v>0</v>
      </c>
      <c r="B19" s="10">
        <f>D4</f>
        <v>3333</v>
      </c>
      <c r="C19" s="11"/>
      <c r="D19" s="11"/>
      <c r="E19" s="4"/>
      <c r="F19" s="19">
        <v>0</v>
      </c>
      <c r="G19" s="10">
        <f>D4</f>
        <v>3333</v>
      </c>
      <c r="H19" s="11"/>
      <c r="I19" s="11"/>
      <c r="J19" s="11"/>
    </row>
    <row r="20" spans="1:10">
      <c r="A20" s="16">
        <v>1</v>
      </c>
      <c r="B20" s="10">
        <f t="shared" ref="B20:B83" si="0">IF(A20&lt;=$D$5*12,B19-D20,0)</f>
        <v>3333</v>
      </c>
      <c r="C20" s="10">
        <f t="shared" ref="C20:C83" si="1">IF(A20&lt;=$D$5*12,B19*$D$6/12,0)</f>
        <v>5.5549999999999997</v>
      </c>
      <c r="D20" s="10">
        <f>IF($D$3="Annuitätendarlehen",IF(A20&lt;=$D$5*12,E20-C20,0),IF($D$3="Ratendarlehen",IF(AND(A20&lt;=$D$5*12,A20&gt;$D$7),$D$4/($D$5*12-$D$7),0),IF($D$3="Restwertdarlehen",IF(A20=$D$5*12,$D$4,0),0)))</f>
        <v>0</v>
      </c>
      <c r="E20" s="5">
        <f>IF($D$3="Annuitätendarlehen",IF(AND(A20&lt;=$D$5*12,A20&gt;$D$7),PMT($D$6/12,$D$5*12-$D$7,-$D$4,$D$8,0),IF(A20&lt;=$D$7,C20,0)),IF($D$3="Ratendarlehen",IF(AND(A20&lt;=$D$5*12,A20&gt;$D$7),$D$4/($D$5*12-$D$7)+C20,IF(A20&lt;=$D$7,C20,0)),IF(AND($D$3="Restwertdarlehen",A20&lt;=$D$5*12),C20+D20,0)))</f>
        <v>5.5549999999999997</v>
      </c>
      <c r="F20" s="19">
        <v>1</v>
      </c>
      <c r="G20" s="10">
        <f ca="1">IF(A20&lt;=INT(F20-0.00001+($D$5-1)/12)+1,G19-I20,0)</f>
        <v>3333</v>
      </c>
      <c r="H20" s="10">
        <f ca="1">SUM(INDIRECT("z"&amp;ROW($E$20)-$D$9+1+F19*12&amp;"s"&amp;COLUMN($C$10)&amp;":z"&amp;ROW($E$20)-$D$9+1+F19*12+12-1&amp;"s"&amp;COLUMN($C$10),0))</f>
        <v>44.44</v>
      </c>
      <c r="I20" s="10">
        <f t="shared" ref="I20:I49" ca="1" si="2">+J20-H20</f>
        <v>0</v>
      </c>
      <c r="J20" s="10">
        <f ca="1">SUM(INDIRECT("z"&amp;ROW($E$20)-$D$9+1+F19*12&amp;"s"&amp;COLUMN($E$10)&amp;":z"&amp;ROW($E$20)-$D$9+1+F19*12+12-1&amp;"s"&amp;COLUMN($E$10),0))</f>
        <v>44.44</v>
      </c>
    </row>
    <row r="21" spans="1:10">
      <c r="A21" s="16">
        <v>2</v>
      </c>
      <c r="B21" s="10">
        <f t="shared" si="0"/>
        <v>3333</v>
      </c>
      <c r="C21" s="10">
        <f t="shared" si="1"/>
        <v>5.5549999999999997</v>
      </c>
      <c r="D21" s="10">
        <f t="shared" ref="D21:D84" si="3">IF($D$3="Annuitätendarlehen",IF(A21&lt;=$D$5*12,E21-C21,0),IF($D$3="Ratendarlehen",IF(AND(A21&lt;=$D$5*12,A21&gt;$D$7),$D$4/($D$5*12-$D$7),0),IF($D$3="Restwertdarlehen",IF(A21=$D$5*12,$D$4,0),0)))</f>
        <v>0</v>
      </c>
      <c r="E21" s="5">
        <f t="shared" ref="E21:E84" si="4">IF($D$3="Annuitätendarlehen",IF(AND(A21&lt;=$D$5*12,A21&gt;$D$7),PMT($D$6/12,$D$5*12-$D$7,-$D$4,$D$8,0),IF(A21&lt;=$D$7,C21,0)),IF($D$3="Ratendarlehen",IF(AND(A21&lt;=$D$5*12,A21&gt;$D$7),$D$4/($D$5*12-$D$7)+C21,IF(A21&lt;=$D$7,C21,0)),IF(AND($D$3="Restwertdarlehen",A21&lt;=$D$5*12),C21+D21,0)))</f>
        <v>5.5549999999999997</v>
      </c>
      <c r="F21" s="19">
        <v>2</v>
      </c>
      <c r="G21" s="10">
        <f t="shared" ref="G21:G49" ca="1" si="5">IF(A21&lt;=INT(F21-0.00001+($D$5-1)/12)+1,G20-I21,0)</f>
        <v>3333</v>
      </c>
      <c r="H21" s="10">
        <f t="shared" ref="H21:H49" ca="1" si="6">SUM(INDIRECT("z"&amp;ROW($E$20)-$D$9+1+F20*12&amp;"s"&amp;COLUMN($C$10)&amp;":z"&amp;ROW($E$20)-$D$9+1+F20*12+12-1&amp;"s"&amp;COLUMN($C$10),0))</f>
        <v>66.66</v>
      </c>
      <c r="I21" s="10">
        <f t="shared" ca="1" si="2"/>
        <v>0</v>
      </c>
      <c r="J21" s="10">
        <f t="shared" ref="J21:J49" ca="1" si="7">SUM(INDIRECT("z"&amp;ROW($E$20)-$D$9+1+F20*12&amp;"s"&amp;COLUMN($E$10)&amp;":z"&amp;ROW($E$20)-$D$9+1+F20*12+12-1&amp;"s"&amp;COLUMN($E$10),0))</f>
        <v>66.66</v>
      </c>
    </row>
    <row r="22" spans="1:10">
      <c r="A22" s="16">
        <v>3</v>
      </c>
      <c r="B22" s="10">
        <f t="shared" si="0"/>
        <v>3333</v>
      </c>
      <c r="C22" s="10">
        <f t="shared" si="1"/>
        <v>5.5549999999999997</v>
      </c>
      <c r="D22" s="10">
        <f t="shared" si="3"/>
        <v>0</v>
      </c>
      <c r="E22" s="5">
        <f t="shared" si="4"/>
        <v>5.5549999999999997</v>
      </c>
      <c r="F22" s="19">
        <v>3</v>
      </c>
      <c r="G22" s="10">
        <f t="shared" ca="1" si="5"/>
        <v>3333</v>
      </c>
      <c r="H22" s="10">
        <f t="shared" ca="1" si="6"/>
        <v>66.66</v>
      </c>
      <c r="I22" s="10">
        <f t="shared" ca="1" si="2"/>
        <v>0</v>
      </c>
      <c r="J22" s="10">
        <f t="shared" ca="1" si="7"/>
        <v>66.66</v>
      </c>
    </row>
    <row r="23" spans="1:10">
      <c r="A23" s="16">
        <v>4</v>
      </c>
      <c r="B23" s="10">
        <f t="shared" si="0"/>
        <v>3333</v>
      </c>
      <c r="C23" s="10">
        <f t="shared" si="1"/>
        <v>5.5549999999999997</v>
      </c>
      <c r="D23" s="10">
        <f t="shared" si="3"/>
        <v>0</v>
      </c>
      <c r="E23" s="5">
        <f t="shared" si="4"/>
        <v>5.5549999999999997</v>
      </c>
      <c r="F23" s="19">
        <v>4</v>
      </c>
      <c r="G23" s="10">
        <f t="shared" ca="1" si="5"/>
        <v>3333</v>
      </c>
      <c r="H23" s="10">
        <f t="shared" ca="1" si="6"/>
        <v>66.66</v>
      </c>
      <c r="I23" s="10">
        <f t="shared" ca="1" si="2"/>
        <v>0</v>
      </c>
      <c r="J23" s="10">
        <f t="shared" ca="1" si="7"/>
        <v>66.66</v>
      </c>
    </row>
    <row r="24" spans="1:10">
      <c r="A24" s="16">
        <v>5</v>
      </c>
      <c r="B24" s="10">
        <f t="shared" si="0"/>
        <v>3333</v>
      </c>
      <c r="C24" s="10">
        <f t="shared" si="1"/>
        <v>5.5549999999999997</v>
      </c>
      <c r="D24" s="10">
        <f t="shared" si="3"/>
        <v>0</v>
      </c>
      <c r="E24" s="5">
        <f t="shared" si="4"/>
        <v>5.5549999999999997</v>
      </c>
      <c r="F24" s="19">
        <v>5</v>
      </c>
      <c r="G24" s="10">
        <f t="shared" ca="1" si="5"/>
        <v>3333</v>
      </c>
      <c r="H24" s="10">
        <f t="shared" ca="1" si="6"/>
        <v>66.66</v>
      </c>
      <c r="I24" s="10">
        <f t="shared" ca="1" si="2"/>
        <v>0</v>
      </c>
      <c r="J24" s="10">
        <f t="shared" ca="1" si="7"/>
        <v>66.66</v>
      </c>
    </row>
    <row r="25" spans="1:10">
      <c r="A25" s="16">
        <v>6</v>
      </c>
      <c r="B25" s="10">
        <f t="shared" si="0"/>
        <v>3333</v>
      </c>
      <c r="C25" s="10">
        <f t="shared" si="1"/>
        <v>5.5549999999999997</v>
      </c>
      <c r="D25" s="10">
        <f t="shared" si="3"/>
        <v>0</v>
      </c>
      <c r="E25" s="5">
        <f t="shared" si="4"/>
        <v>5.5549999999999997</v>
      </c>
      <c r="F25" s="19">
        <v>6</v>
      </c>
      <c r="G25" s="10">
        <f t="shared" ca="1" si="5"/>
        <v>3333</v>
      </c>
      <c r="H25" s="10">
        <f t="shared" ca="1" si="6"/>
        <v>66.66</v>
      </c>
      <c r="I25" s="10">
        <f t="shared" ca="1" si="2"/>
        <v>0</v>
      </c>
      <c r="J25" s="10">
        <f t="shared" ca="1" si="7"/>
        <v>66.66</v>
      </c>
    </row>
    <row r="26" spans="1:10">
      <c r="A26" s="16">
        <v>7</v>
      </c>
      <c r="B26" s="10">
        <f t="shared" si="0"/>
        <v>3333</v>
      </c>
      <c r="C26" s="10">
        <f t="shared" si="1"/>
        <v>5.5549999999999997</v>
      </c>
      <c r="D26" s="10">
        <f t="shared" si="3"/>
        <v>0</v>
      </c>
      <c r="E26" s="5">
        <f t="shared" si="4"/>
        <v>5.5549999999999997</v>
      </c>
      <c r="F26" s="19">
        <v>7</v>
      </c>
      <c r="G26" s="10">
        <f t="shared" ca="1" si="5"/>
        <v>3333</v>
      </c>
      <c r="H26" s="10">
        <f t="shared" ca="1" si="6"/>
        <v>66.66</v>
      </c>
      <c r="I26" s="10">
        <f t="shared" ca="1" si="2"/>
        <v>0</v>
      </c>
      <c r="J26" s="10">
        <f t="shared" ca="1" si="7"/>
        <v>66.66</v>
      </c>
    </row>
    <row r="27" spans="1:10">
      <c r="A27" s="16">
        <v>8</v>
      </c>
      <c r="B27" s="10">
        <f t="shared" si="0"/>
        <v>3333</v>
      </c>
      <c r="C27" s="10">
        <f t="shared" si="1"/>
        <v>5.5549999999999997</v>
      </c>
      <c r="D27" s="10">
        <f t="shared" si="3"/>
        <v>0</v>
      </c>
      <c r="E27" s="5">
        <f t="shared" si="4"/>
        <v>5.5549999999999997</v>
      </c>
      <c r="F27" s="19">
        <v>8</v>
      </c>
      <c r="G27" s="10">
        <f t="shared" ca="1" si="5"/>
        <v>3333</v>
      </c>
      <c r="H27" s="10">
        <f t="shared" ca="1" si="6"/>
        <v>66.66</v>
      </c>
      <c r="I27" s="10">
        <f t="shared" ca="1" si="2"/>
        <v>0</v>
      </c>
      <c r="J27" s="10">
        <f t="shared" ca="1" si="7"/>
        <v>66.66</v>
      </c>
    </row>
    <row r="28" spans="1:10">
      <c r="A28" s="16">
        <v>9</v>
      </c>
      <c r="B28" s="10">
        <f t="shared" si="0"/>
        <v>3333</v>
      </c>
      <c r="C28" s="10">
        <f t="shared" si="1"/>
        <v>5.5549999999999997</v>
      </c>
      <c r="D28" s="10">
        <f t="shared" si="3"/>
        <v>0</v>
      </c>
      <c r="E28" s="5">
        <f t="shared" si="4"/>
        <v>5.5549999999999997</v>
      </c>
      <c r="F28" s="19">
        <v>9</v>
      </c>
      <c r="G28" s="10">
        <f t="shared" ca="1" si="5"/>
        <v>3333</v>
      </c>
      <c r="H28" s="10">
        <f t="shared" ca="1" si="6"/>
        <v>66.66</v>
      </c>
      <c r="I28" s="10">
        <f t="shared" ca="1" si="2"/>
        <v>0</v>
      </c>
      <c r="J28" s="10">
        <f t="shared" ca="1" si="7"/>
        <v>66.66</v>
      </c>
    </row>
    <row r="29" spans="1:10">
      <c r="A29" s="16">
        <v>10</v>
      </c>
      <c r="B29" s="10">
        <f t="shared" si="0"/>
        <v>3333</v>
      </c>
      <c r="C29" s="10">
        <f t="shared" si="1"/>
        <v>5.5549999999999997</v>
      </c>
      <c r="D29" s="10">
        <f t="shared" si="3"/>
        <v>0</v>
      </c>
      <c r="E29" s="5">
        <f t="shared" si="4"/>
        <v>5.5549999999999997</v>
      </c>
      <c r="F29" s="19">
        <v>10</v>
      </c>
      <c r="G29" s="10">
        <f t="shared" ca="1" si="5"/>
        <v>3333</v>
      </c>
      <c r="H29" s="10">
        <f t="shared" ca="1" si="6"/>
        <v>66.66</v>
      </c>
      <c r="I29" s="10">
        <f t="shared" ca="1" si="2"/>
        <v>0</v>
      </c>
      <c r="J29" s="10">
        <f t="shared" ca="1" si="7"/>
        <v>66.66</v>
      </c>
    </row>
    <row r="30" spans="1:10">
      <c r="A30" s="16">
        <v>11</v>
      </c>
      <c r="B30" s="10">
        <f t="shared" si="0"/>
        <v>3333</v>
      </c>
      <c r="C30" s="10">
        <f t="shared" si="1"/>
        <v>5.5549999999999997</v>
      </c>
      <c r="D30" s="10">
        <f t="shared" si="3"/>
        <v>0</v>
      </c>
      <c r="E30" s="5">
        <f t="shared" si="4"/>
        <v>5.5549999999999997</v>
      </c>
      <c r="F30" s="19">
        <v>11</v>
      </c>
      <c r="G30" s="10">
        <f t="shared" ca="1" si="5"/>
        <v>0</v>
      </c>
      <c r="H30" s="10">
        <f t="shared" ca="1" si="6"/>
        <v>22.22</v>
      </c>
      <c r="I30" s="10">
        <f t="shared" ca="1" si="2"/>
        <v>3333</v>
      </c>
      <c r="J30" s="10">
        <f t="shared" ca="1" si="7"/>
        <v>3355.22</v>
      </c>
    </row>
    <row r="31" spans="1:10">
      <c r="A31" s="16">
        <v>12</v>
      </c>
      <c r="B31" s="10">
        <f t="shared" si="0"/>
        <v>3333</v>
      </c>
      <c r="C31" s="10">
        <f t="shared" si="1"/>
        <v>5.5549999999999997</v>
      </c>
      <c r="D31" s="10">
        <f t="shared" si="3"/>
        <v>0</v>
      </c>
      <c r="E31" s="5">
        <f t="shared" si="4"/>
        <v>5.5549999999999997</v>
      </c>
      <c r="F31" s="19">
        <v>12</v>
      </c>
      <c r="G31" s="10">
        <f t="shared" ca="1" si="5"/>
        <v>0</v>
      </c>
      <c r="H31" s="10">
        <f t="shared" ca="1" si="6"/>
        <v>0</v>
      </c>
      <c r="I31" s="10">
        <f t="shared" ca="1" si="2"/>
        <v>0</v>
      </c>
      <c r="J31" s="10">
        <f t="shared" ca="1" si="7"/>
        <v>0</v>
      </c>
    </row>
    <row r="32" spans="1:10">
      <c r="A32" s="16">
        <v>13</v>
      </c>
      <c r="B32" s="10">
        <f t="shared" si="0"/>
        <v>3333</v>
      </c>
      <c r="C32" s="10">
        <f t="shared" si="1"/>
        <v>5.5549999999999997</v>
      </c>
      <c r="D32" s="10">
        <f t="shared" si="3"/>
        <v>0</v>
      </c>
      <c r="E32" s="5">
        <f t="shared" si="4"/>
        <v>5.5549999999999997</v>
      </c>
      <c r="F32" s="19">
        <v>13</v>
      </c>
      <c r="G32" s="10">
        <f t="shared" ca="1" si="5"/>
        <v>0</v>
      </c>
      <c r="H32" s="10">
        <f t="shared" ca="1" si="6"/>
        <v>0</v>
      </c>
      <c r="I32" s="10">
        <f t="shared" ca="1" si="2"/>
        <v>0</v>
      </c>
      <c r="J32" s="10">
        <f t="shared" ca="1" si="7"/>
        <v>0</v>
      </c>
    </row>
    <row r="33" spans="1:10">
      <c r="A33" s="16">
        <v>14</v>
      </c>
      <c r="B33" s="10">
        <f t="shared" si="0"/>
        <v>3333</v>
      </c>
      <c r="C33" s="10">
        <f t="shared" si="1"/>
        <v>5.5549999999999997</v>
      </c>
      <c r="D33" s="10">
        <f t="shared" si="3"/>
        <v>0</v>
      </c>
      <c r="E33" s="5">
        <f t="shared" si="4"/>
        <v>5.5549999999999997</v>
      </c>
      <c r="F33" s="19">
        <v>14</v>
      </c>
      <c r="G33" s="10">
        <f t="shared" ca="1" si="5"/>
        <v>0</v>
      </c>
      <c r="H33" s="10">
        <f t="shared" ca="1" si="6"/>
        <v>0</v>
      </c>
      <c r="I33" s="10">
        <f t="shared" ca="1" si="2"/>
        <v>0</v>
      </c>
      <c r="J33" s="10">
        <f t="shared" ca="1" si="7"/>
        <v>0</v>
      </c>
    </row>
    <row r="34" spans="1:10">
      <c r="A34" s="16">
        <v>15</v>
      </c>
      <c r="B34" s="10">
        <f t="shared" si="0"/>
        <v>3333</v>
      </c>
      <c r="C34" s="10">
        <f t="shared" si="1"/>
        <v>5.5549999999999997</v>
      </c>
      <c r="D34" s="10">
        <f t="shared" si="3"/>
        <v>0</v>
      </c>
      <c r="E34" s="5">
        <f t="shared" si="4"/>
        <v>5.5549999999999997</v>
      </c>
      <c r="F34" s="19">
        <v>15</v>
      </c>
      <c r="G34" s="10">
        <f t="shared" ca="1" si="5"/>
        <v>0</v>
      </c>
      <c r="H34" s="10">
        <f t="shared" ca="1" si="6"/>
        <v>0</v>
      </c>
      <c r="I34" s="10">
        <f t="shared" ca="1" si="2"/>
        <v>0</v>
      </c>
      <c r="J34" s="10">
        <f t="shared" ca="1" si="7"/>
        <v>0</v>
      </c>
    </row>
    <row r="35" spans="1:10">
      <c r="A35" s="16">
        <v>16</v>
      </c>
      <c r="B35" s="10">
        <f t="shared" si="0"/>
        <v>3333</v>
      </c>
      <c r="C35" s="10">
        <f t="shared" si="1"/>
        <v>5.5549999999999997</v>
      </c>
      <c r="D35" s="10">
        <f t="shared" si="3"/>
        <v>0</v>
      </c>
      <c r="E35" s="5">
        <f t="shared" si="4"/>
        <v>5.5549999999999997</v>
      </c>
      <c r="F35" s="19">
        <v>16</v>
      </c>
      <c r="G35" s="10">
        <f t="shared" ca="1" si="5"/>
        <v>0</v>
      </c>
      <c r="H35" s="10">
        <f t="shared" ca="1" si="6"/>
        <v>0</v>
      </c>
      <c r="I35" s="10">
        <f t="shared" ca="1" si="2"/>
        <v>0</v>
      </c>
      <c r="J35" s="10">
        <f t="shared" ca="1" si="7"/>
        <v>0</v>
      </c>
    </row>
    <row r="36" spans="1:10">
      <c r="A36" s="16">
        <v>17</v>
      </c>
      <c r="B36" s="10">
        <f t="shared" si="0"/>
        <v>3333</v>
      </c>
      <c r="C36" s="10">
        <f t="shared" si="1"/>
        <v>5.5549999999999997</v>
      </c>
      <c r="D36" s="10">
        <f t="shared" si="3"/>
        <v>0</v>
      </c>
      <c r="E36" s="5">
        <f t="shared" si="4"/>
        <v>5.5549999999999997</v>
      </c>
      <c r="F36" s="19">
        <v>17</v>
      </c>
      <c r="G36" s="10">
        <f t="shared" ca="1" si="5"/>
        <v>0</v>
      </c>
      <c r="H36" s="10">
        <f t="shared" ca="1" si="6"/>
        <v>0</v>
      </c>
      <c r="I36" s="10">
        <f t="shared" ca="1" si="2"/>
        <v>0</v>
      </c>
      <c r="J36" s="10">
        <f t="shared" ca="1" si="7"/>
        <v>0</v>
      </c>
    </row>
    <row r="37" spans="1:10">
      <c r="A37" s="16">
        <v>18</v>
      </c>
      <c r="B37" s="10">
        <f t="shared" si="0"/>
        <v>3333</v>
      </c>
      <c r="C37" s="10">
        <f t="shared" si="1"/>
        <v>5.5549999999999997</v>
      </c>
      <c r="D37" s="10">
        <f t="shared" si="3"/>
        <v>0</v>
      </c>
      <c r="E37" s="5">
        <f t="shared" si="4"/>
        <v>5.5549999999999997</v>
      </c>
      <c r="F37" s="19">
        <v>18</v>
      </c>
      <c r="G37" s="10">
        <f t="shared" ca="1" si="5"/>
        <v>0</v>
      </c>
      <c r="H37" s="10">
        <f t="shared" ca="1" si="6"/>
        <v>0</v>
      </c>
      <c r="I37" s="10">
        <f t="shared" ca="1" si="2"/>
        <v>0</v>
      </c>
      <c r="J37" s="10">
        <f t="shared" ca="1" si="7"/>
        <v>0</v>
      </c>
    </row>
    <row r="38" spans="1:10">
      <c r="A38" s="16">
        <v>19</v>
      </c>
      <c r="B38" s="10">
        <f t="shared" si="0"/>
        <v>3333</v>
      </c>
      <c r="C38" s="10">
        <f t="shared" si="1"/>
        <v>5.5549999999999997</v>
      </c>
      <c r="D38" s="10">
        <f t="shared" si="3"/>
        <v>0</v>
      </c>
      <c r="E38" s="5">
        <f t="shared" si="4"/>
        <v>5.5549999999999997</v>
      </c>
      <c r="F38" s="19">
        <v>19</v>
      </c>
      <c r="G38" s="10">
        <f t="shared" ca="1" si="5"/>
        <v>0</v>
      </c>
      <c r="H38" s="10">
        <f t="shared" ca="1" si="6"/>
        <v>0</v>
      </c>
      <c r="I38" s="10">
        <f t="shared" ca="1" si="2"/>
        <v>0</v>
      </c>
      <c r="J38" s="10">
        <f t="shared" ca="1" si="7"/>
        <v>0</v>
      </c>
    </row>
    <row r="39" spans="1:10">
      <c r="A39" s="16">
        <v>20</v>
      </c>
      <c r="B39" s="10">
        <f t="shared" si="0"/>
        <v>3333</v>
      </c>
      <c r="C39" s="10">
        <f t="shared" si="1"/>
        <v>5.5549999999999997</v>
      </c>
      <c r="D39" s="10">
        <f t="shared" si="3"/>
        <v>0</v>
      </c>
      <c r="E39" s="5">
        <f t="shared" si="4"/>
        <v>5.5549999999999997</v>
      </c>
      <c r="F39" s="19">
        <v>20</v>
      </c>
      <c r="G39" s="10">
        <f t="shared" ca="1" si="5"/>
        <v>0</v>
      </c>
      <c r="H39" s="10">
        <f t="shared" ca="1" si="6"/>
        <v>0</v>
      </c>
      <c r="I39" s="10">
        <f t="shared" ca="1" si="2"/>
        <v>0</v>
      </c>
      <c r="J39" s="10">
        <f t="shared" ca="1" si="7"/>
        <v>0</v>
      </c>
    </row>
    <row r="40" spans="1:10">
      <c r="A40" s="16">
        <v>21</v>
      </c>
      <c r="B40" s="10">
        <f t="shared" si="0"/>
        <v>3333</v>
      </c>
      <c r="C40" s="10">
        <f t="shared" si="1"/>
        <v>5.5549999999999997</v>
      </c>
      <c r="D40" s="10">
        <f t="shared" si="3"/>
        <v>0</v>
      </c>
      <c r="E40" s="5">
        <f t="shared" si="4"/>
        <v>5.5549999999999997</v>
      </c>
      <c r="F40" s="19">
        <v>21</v>
      </c>
      <c r="G40" s="10">
        <f t="shared" ca="1" si="5"/>
        <v>0</v>
      </c>
      <c r="H40" s="10">
        <f t="shared" ca="1" si="6"/>
        <v>0</v>
      </c>
      <c r="I40" s="10">
        <f t="shared" ca="1" si="2"/>
        <v>0</v>
      </c>
      <c r="J40" s="10">
        <f t="shared" ca="1" si="7"/>
        <v>0</v>
      </c>
    </row>
    <row r="41" spans="1:10">
      <c r="A41" s="16">
        <v>22</v>
      </c>
      <c r="B41" s="10">
        <f t="shared" si="0"/>
        <v>3333</v>
      </c>
      <c r="C41" s="10">
        <f t="shared" si="1"/>
        <v>5.5549999999999997</v>
      </c>
      <c r="D41" s="10">
        <f t="shared" si="3"/>
        <v>0</v>
      </c>
      <c r="E41" s="5">
        <f t="shared" si="4"/>
        <v>5.5549999999999997</v>
      </c>
      <c r="F41" s="19">
        <v>22</v>
      </c>
      <c r="G41" s="10">
        <f t="shared" ca="1" si="5"/>
        <v>0</v>
      </c>
      <c r="H41" s="10">
        <f t="shared" ca="1" si="6"/>
        <v>0</v>
      </c>
      <c r="I41" s="10">
        <f t="shared" ca="1" si="2"/>
        <v>0</v>
      </c>
      <c r="J41" s="10">
        <f t="shared" ca="1" si="7"/>
        <v>0</v>
      </c>
    </row>
    <row r="42" spans="1:10">
      <c r="A42" s="16">
        <v>23</v>
      </c>
      <c r="B42" s="10">
        <f t="shared" si="0"/>
        <v>3333</v>
      </c>
      <c r="C42" s="10">
        <f t="shared" si="1"/>
        <v>5.5549999999999997</v>
      </c>
      <c r="D42" s="10">
        <f t="shared" si="3"/>
        <v>0</v>
      </c>
      <c r="E42" s="5">
        <f t="shared" si="4"/>
        <v>5.5549999999999997</v>
      </c>
      <c r="F42" s="19">
        <v>23</v>
      </c>
      <c r="G42" s="10">
        <f t="shared" ca="1" si="5"/>
        <v>0</v>
      </c>
      <c r="H42" s="10">
        <f t="shared" ca="1" si="6"/>
        <v>0</v>
      </c>
      <c r="I42" s="10">
        <f t="shared" ca="1" si="2"/>
        <v>0</v>
      </c>
      <c r="J42" s="10">
        <f t="shared" ca="1" si="7"/>
        <v>0</v>
      </c>
    </row>
    <row r="43" spans="1:10">
      <c r="A43" s="16">
        <v>24</v>
      </c>
      <c r="B43" s="10">
        <f t="shared" si="0"/>
        <v>3333</v>
      </c>
      <c r="C43" s="10">
        <f t="shared" si="1"/>
        <v>5.5549999999999997</v>
      </c>
      <c r="D43" s="10">
        <f t="shared" si="3"/>
        <v>0</v>
      </c>
      <c r="E43" s="5">
        <f t="shared" si="4"/>
        <v>5.5549999999999997</v>
      </c>
      <c r="F43" s="19">
        <v>24</v>
      </c>
      <c r="G43" s="10">
        <f t="shared" ca="1" si="5"/>
        <v>0</v>
      </c>
      <c r="H43" s="10">
        <f t="shared" ca="1" si="6"/>
        <v>0</v>
      </c>
      <c r="I43" s="10">
        <f t="shared" ca="1" si="2"/>
        <v>0</v>
      </c>
      <c r="J43" s="10">
        <f t="shared" ca="1" si="7"/>
        <v>0</v>
      </c>
    </row>
    <row r="44" spans="1:10">
      <c r="A44" s="16">
        <v>25</v>
      </c>
      <c r="B44" s="10">
        <f t="shared" si="0"/>
        <v>3333</v>
      </c>
      <c r="C44" s="10">
        <f t="shared" si="1"/>
        <v>5.5549999999999997</v>
      </c>
      <c r="D44" s="10">
        <f t="shared" si="3"/>
        <v>0</v>
      </c>
      <c r="E44" s="5">
        <f t="shared" si="4"/>
        <v>5.5549999999999997</v>
      </c>
      <c r="F44" s="19">
        <v>25</v>
      </c>
      <c r="G44" s="10">
        <f t="shared" ca="1" si="5"/>
        <v>0</v>
      </c>
      <c r="H44" s="10">
        <f t="shared" ca="1" si="6"/>
        <v>0</v>
      </c>
      <c r="I44" s="10">
        <f t="shared" ca="1" si="2"/>
        <v>0</v>
      </c>
      <c r="J44" s="10">
        <f t="shared" ca="1" si="7"/>
        <v>0</v>
      </c>
    </row>
    <row r="45" spans="1:10">
      <c r="A45" s="16">
        <v>26</v>
      </c>
      <c r="B45" s="10">
        <f t="shared" si="0"/>
        <v>3333</v>
      </c>
      <c r="C45" s="10">
        <f t="shared" si="1"/>
        <v>5.5549999999999997</v>
      </c>
      <c r="D45" s="10">
        <f t="shared" si="3"/>
        <v>0</v>
      </c>
      <c r="E45" s="5">
        <f t="shared" si="4"/>
        <v>5.5549999999999997</v>
      </c>
      <c r="F45" s="19">
        <v>26</v>
      </c>
      <c r="G45" s="10">
        <f t="shared" ca="1" si="5"/>
        <v>0</v>
      </c>
      <c r="H45" s="10">
        <f t="shared" ca="1" si="6"/>
        <v>0</v>
      </c>
      <c r="I45" s="10">
        <f t="shared" ca="1" si="2"/>
        <v>0</v>
      </c>
      <c r="J45" s="10">
        <f t="shared" ca="1" si="7"/>
        <v>0</v>
      </c>
    </row>
    <row r="46" spans="1:10">
      <c r="A46" s="16">
        <v>27</v>
      </c>
      <c r="B46" s="10">
        <f t="shared" si="0"/>
        <v>3333</v>
      </c>
      <c r="C46" s="10">
        <f t="shared" si="1"/>
        <v>5.5549999999999997</v>
      </c>
      <c r="D46" s="10">
        <f t="shared" si="3"/>
        <v>0</v>
      </c>
      <c r="E46" s="5">
        <f t="shared" si="4"/>
        <v>5.5549999999999997</v>
      </c>
      <c r="F46" s="19">
        <v>27</v>
      </c>
      <c r="G46" s="10">
        <f t="shared" ca="1" si="5"/>
        <v>0</v>
      </c>
      <c r="H46" s="10">
        <f t="shared" ca="1" si="6"/>
        <v>0</v>
      </c>
      <c r="I46" s="10">
        <f t="shared" ca="1" si="2"/>
        <v>0</v>
      </c>
      <c r="J46" s="10">
        <f t="shared" ca="1" si="7"/>
        <v>0</v>
      </c>
    </row>
    <row r="47" spans="1:10">
      <c r="A47" s="16">
        <v>28</v>
      </c>
      <c r="B47" s="10">
        <f t="shared" si="0"/>
        <v>3333</v>
      </c>
      <c r="C47" s="10">
        <f t="shared" si="1"/>
        <v>5.5549999999999997</v>
      </c>
      <c r="D47" s="10">
        <f t="shared" si="3"/>
        <v>0</v>
      </c>
      <c r="E47" s="5">
        <f t="shared" si="4"/>
        <v>5.5549999999999997</v>
      </c>
      <c r="F47" s="19">
        <v>28</v>
      </c>
      <c r="G47" s="10">
        <f t="shared" ca="1" si="5"/>
        <v>0</v>
      </c>
      <c r="H47" s="10">
        <f t="shared" ca="1" si="6"/>
        <v>0</v>
      </c>
      <c r="I47" s="10">
        <f t="shared" ca="1" si="2"/>
        <v>0</v>
      </c>
      <c r="J47" s="10">
        <f t="shared" ca="1" si="7"/>
        <v>0</v>
      </c>
    </row>
    <row r="48" spans="1:10">
      <c r="A48" s="16">
        <v>29</v>
      </c>
      <c r="B48" s="10">
        <f t="shared" si="0"/>
        <v>3333</v>
      </c>
      <c r="C48" s="10">
        <f t="shared" si="1"/>
        <v>5.5549999999999997</v>
      </c>
      <c r="D48" s="10">
        <f t="shared" si="3"/>
        <v>0</v>
      </c>
      <c r="E48" s="5">
        <f t="shared" si="4"/>
        <v>5.5549999999999997</v>
      </c>
      <c r="F48" s="19">
        <v>29</v>
      </c>
      <c r="G48" s="10">
        <f t="shared" ca="1" si="5"/>
        <v>0</v>
      </c>
      <c r="H48" s="10">
        <f t="shared" ca="1" si="6"/>
        <v>0</v>
      </c>
      <c r="I48" s="10">
        <f t="shared" ca="1" si="2"/>
        <v>0</v>
      </c>
      <c r="J48" s="10">
        <f t="shared" ca="1" si="7"/>
        <v>0</v>
      </c>
    </row>
    <row r="49" spans="1:10">
      <c r="A49" s="16">
        <v>30</v>
      </c>
      <c r="B49" s="10">
        <f t="shared" si="0"/>
        <v>3333</v>
      </c>
      <c r="C49" s="10">
        <f t="shared" si="1"/>
        <v>5.5549999999999997</v>
      </c>
      <c r="D49" s="10">
        <f t="shared" si="3"/>
        <v>0</v>
      </c>
      <c r="E49" s="5">
        <f t="shared" si="4"/>
        <v>5.5549999999999997</v>
      </c>
      <c r="F49" s="19">
        <v>30</v>
      </c>
      <c r="G49" s="10">
        <f t="shared" ca="1" si="5"/>
        <v>0</v>
      </c>
      <c r="H49" s="10">
        <f t="shared" ca="1" si="6"/>
        <v>0</v>
      </c>
      <c r="I49" s="10">
        <f t="shared" ca="1" si="2"/>
        <v>0</v>
      </c>
      <c r="J49" s="10">
        <f t="shared" ca="1" si="7"/>
        <v>0</v>
      </c>
    </row>
    <row r="50" spans="1:10">
      <c r="A50" s="16">
        <v>31</v>
      </c>
      <c r="B50" s="10">
        <f t="shared" si="0"/>
        <v>3333</v>
      </c>
      <c r="C50" s="10">
        <f t="shared" si="1"/>
        <v>5.5549999999999997</v>
      </c>
      <c r="D50" s="10">
        <f t="shared" si="3"/>
        <v>0</v>
      </c>
      <c r="E50" s="5">
        <f t="shared" si="4"/>
        <v>5.5549999999999997</v>
      </c>
      <c r="F50" s="6"/>
      <c r="G50" s="6"/>
      <c r="H50" s="6"/>
      <c r="I50" s="6"/>
      <c r="J50" s="6"/>
    </row>
    <row r="51" spans="1:10">
      <c r="A51" s="16">
        <v>32</v>
      </c>
      <c r="B51" s="10">
        <f t="shared" si="0"/>
        <v>3333</v>
      </c>
      <c r="C51" s="10">
        <f t="shared" si="1"/>
        <v>5.5549999999999997</v>
      </c>
      <c r="D51" s="10">
        <f t="shared" si="3"/>
        <v>0</v>
      </c>
      <c r="E51" s="5">
        <f t="shared" si="4"/>
        <v>5.5549999999999997</v>
      </c>
      <c r="F51" s="6"/>
      <c r="G51" s="6"/>
      <c r="H51" s="12">
        <f ca="1">SUM(H20:H50)</f>
        <v>666.59999999999991</v>
      </c>
      <c r="I51" s="12">
        <f ca="1">SUM(I20:I50)</f>
        <v>3333</v>
      </c>
      <c r="J51" s="12">
        <f ca="1">SUM(J20:J50)</f>
        <v>3999.5999999999995</v>
      </c>
    </row>
    <row r="52" spans="1:10">
      <c r="A52" s="16">
        <v>33</v>
      </c>
      <c r="B52" s="10">
        <f t="shared" si="0"/>
        <v>3333</v>
      </c>
      <c r="C52" s="10">
        <f t="shared" si="1"/>
        <v>5.5549999999999997</v>
      </c>
      <c r="D52" s="10">
        <f t="shared" si="3"/>
        <v>0</v>
      </c>
      <c r="E52" s="5">
        <f t="shared" si="4"/>
        <v>5.5549999999999997</v>
      </c>
      <c r="F52" s="6"/>
      <c r="G52" s="6"/>
      <c r="H52" s="6"/>
      <c r="I52" s="6"/>
      <c r="J52" s="6"/>
    </row>
    <row r="53" spans="1:10">
      <c r="A53" s="16">
        <v>34</v>
      </c>
      <c r="B53" s="10">
        <f t="shared" si="0"/>
        <v>3333</v>
      </c>
      <c r="C53" s="10">
        <f t="shared" si="1"/>
        <v>5.5549999999999997</v>
      </c>
      <c r="D53" s="10">
        <f t="shared" si="3"/>
        <v>0</v>
      </c>
      <c r="E53" s="5">
        <f t="shared" si="4"/>
        <v>5.5549999999999997</v>
      </c>
      <c r="F53" s="6"/>
      <c r="G53" s="6"/>
      <c r="H53" s="6"/>
      <c r="I53" s="6"/>
      <c r="J53" s="6"/>
    </row>
    <row r="54" spans="1:10">
      <c r="A54" s="16">
        <v>35</v>
      </c>
      <c r="B54" s="10">
        <f t="shared" si="0"/>
        <v>3333</v>
      </c>
      <c r="C54" s="10">
        <f t="shared" si="1"/>
        <v>5.5549999999999997</v>
      </c>
      <c r="D54" s="10">
        <f t="shared" si="3"/>
        <v>0</v>
      </c>
      <c r="E54" s="5">
        <f t="shared" si="4"/>
        <v>5.5549999999999997</v>
      </c>
      <c r="F54" s="6"/>
      <c r="G54" s="6"/>
      <c r="H54" s="6"/>
      <c r="I54" s="6"/>
      <c r="J54" s="6"/>
    </row>
    <row r="55" spans="1:10">
      <c r="A55" s="16">
        <v>36</v>
      </c>
      <c r="B55" s="10">
        <f t="shared" si="0"/>
        <v>3333</v>
      </c>
      <c r="C55" s="10">
        <f t="shared" si="1"/>
        <v>5.5549999999999997</v>
      </c>
      <c r="D55" s="10">
        <f t="shared" si="3"/>
        <v>0</v>
      </c>
      <c r="E55" s="5">
        <f t="shared" si="4"/>
        <v>5.5549999999999997</v>
      </c>
      <c r="F55" s="6"/>
      <c r="G55" s="6"/>
      <c r="H55" s="6"/>
      <c r="I55" s="6"/>
      <c r="J55" s="6"/>
    </row>
    <row r="56" spans="1:10">
      <c r="A56" s="16">
        <v>37</v>
      </c>
      <c r="B56" s="10">
        <f t="shared" si="0"/>
        <v>3333</v>
      </c>
      <c r="C56" s="10">
        <f t="shared" si="1"/>
        <v>5.5549999999999997</v>
      </c>
      <c r="D56" s="10">
        <f t="shared" si="3"/>
        <v>0</v>
      </c>
      <c r="E56" s="5">
        <f t="shared" si="4"/>
        <v>5.5549999999999997</v>
      </c>
      <c r="F56" s="6"/>
      <c r="G56" s="6"/>
      <c r="H56" s="6"/>
      <c r="I56" s="6"/>
      <c r="J56" s="6"/>
    </row>
    <row r="57" spans="1:10">
      <c r="A57" s="16">
        <v>38</v>
      </c>
      <c r="B57" s="10">
        <f t="shared" si="0"/>
        <v>3333</v>
      </c>
      <c r="C57" s="10">
        <f t="shared" si="1"/>
        <v>5.5549999999999997</v>
      </c>
      <c r="D57" s="10">
        <f t="shared" si="3"/>
        <v>0</v>
      </c>
      <c r="E57" s="5">
        <f t="shared" si="4"/>
        <v>5.5549999999999997</v>
      </c>
      <c r="F57" s="6"/>
      <c r="G57" s="6"/>
      <c r="H57" s="6"/>
      <c r="I57" s="6"/>
      <c r="J57" s="6"/>
    </row>
    <row r="58" spans="1:10">
      <c r="A58" s="16">
        <v>39</v>
      </c>
      <c r="B58" s="10">
        <f t="shared" si="0"/>
        <v>3333</v>
      </c>
      <c r="C58" s="10">
        <f t="shared" si="1"/>
        <v>5.5549999999999997</v>
      </c>
      <c r="D58" s="10">
        <f t="shared" si="3"/>
        <v>0</v>
      </c>
      <c r="E58" s="5">
        <f t="shared" si="4"/>
        <v>5.5549999999999997</v>
      </c>
      <c r="F58" s="6"/>
      <c r="G58" s="6"/>
      <c r="H58" s="6"/>
      <c r="I58" s="6"/>
      <c r="J58" s="6"/>
    </row>
    <row r="59" spans="1:10">
      <c r="A59" s="16">
        <v>40</v>
      </c>
      <c r="B59" s="10">
        <f t="shared" si="0"/>
        <v>3333</v>
      </c>
      <c r="C59" s="10">
        <f t="shared" si="1"/>
        <v>5.5549999999999997</v>
      </c>
      <c r="D59" s="10">
        <f t="shared" si="3"/>
        <v>0</v>
      </c>
      <c r="E59" s="5">
        <f t="shared" si="4"/>
        <v>5.5549999999999997</v>
      </c>
      <c r="F59" s="6"/>
      <c r="G59" s="6"/>
      <c r="H59" s="6"/>
      <c r="I59" s="6"/>
      <c r="J59" s="6"/>
    </row>
    <row r="60" spans="1:10">
      <c r="A60" s="16">
        <v>41</v>
      </c>
      <c r="B60" s="10">
        <f t="shared" si="0"/>
        <v>3333</v>
      </c>
      <c r="C60" s="10">
        <f t="shared" si="1"/>
        <v>5.5549999999999997</v>
      </c>
      <c r="D60" s="10">
        <f t="shared" si="3"/>
        <v>0</v>
      </c>
      <c r="E60" s="5">
        <f t="shared" si="4"/>
        <v>5.5549999999999997</v>
      </c>
      <c r="F60" s="6"/>
      <c r="G60" s="6"/>
      <c r="H60" s="6"/>
      <c r="I60" s="6"/>
      <c r="J60" s="6"/>
    </row>
    <row r="61" spans="1:10">
      <c r="A61" s="16">
        <v>42</v>
      </c>
      <c r="B61" s="10">
        <f t="shared" si="0"/>
        <v>3333</v>
      </c>
      <c r="C61" s="10">
        <f t="shared" si="1"/>
        <v>5.5549999999999997</v>
      </c>
      <c r="D61" s="10">
        <f t="shared" si="3"/>
        <v>0</v>
      </c>
      <c r="E61" s="5">
        <f t="shared" si="4"/>
        <v>5.5549999999999997</v>
      </c>
      <c r="F61" s="6"/>
      <c r="G61" s="6"/>
      <c r="H61" s="6"/>
      <c r="I61" s="6"/>
      <c r="J61" s="6"/>
    </row>
    <row r="62" spans="1:10">
      <c r="A62" s="16">
        <v>43</v>
      </c>
      <c r="B62" s="10">
        <f t="shared" si="0"/>
        <v>3333</v>
      </c>
      <c r="C62" s="10">
        <f t="shared" si="1"/>
        <v>5.5549999999999997</v>
      </c>
      <c r="D62" s="10">
        <f t="shared" si="3"/>
        <v>0</v>
      </c>
      <c r="E62" s="5">
        <f t="shared" si="4"/>
        <v>5.5549999999999997</v>
      </c>
      <c r="F62" s="6"/>
      <c r="G62" s="6"/>
      <c r="H62" s="6"/>
      <c r="I62" s="6"/>
      <c r="J62" s="6"/>
    </row>
    <row r="63" spans="1:10">
      <c r="A63" s="16">
        <v>44</v>
      </c>
      <c r="B63" s="10">
        <f t="shared" si="0"/>
        <v>3333</v>
      </c>
      <c r="C63" s="10">
        <f t="shared" si="1"/>
        <v>5.5549999999999997</v>
      </c>
      <c r="D63" s="10">
        <f t="shared" si="3"/>
        <v>0</v>
      </c>
      <c r="E63" s="5">
        <f t="shared" si="4"/>
        <v>5.5549999999999997</v>
      </c>
      <c r="F63" s="6"/>
      <c r="G63" s="6"/>
      <c r="H63" s="6"/>
      <c r="I63" s="6"/>
      <c r="J63" s="6"/>
    </row>
    <row r="64" spans="1:10">
      <c r="A64" s="16">
        <v>45</v>
      </c>
      <c r="B64" s="10">
        <f t="shared" si="0"/>
        <v>3333</v>
      </c>
      <c r="C64" s="10">
        <f t="shared" si="1"/>
        <v>5.5549999999999997</v>
      </c>
      <c r="D64" s="10">
        <f t="shared" si="3"/>
        <v>0</v>
      </c>
      <c r="E64" s="5">
        <f t="shared" si="4"/>
        <v>5.5549999999999997</v>
      </c>
      <c r="F64" s="6"/>
      <c r="G64" s="6"/>
      <c r="H64" s="6"/>
      <c r="I64" s="6"/>
      <c r="J64" s="6"/>
    </row>
    <row r="65" spans="1:10">
      <c r="A65" s="16">
        <v>46</v>
      </c>
      <c r="B65" s="10">
        <f t="shared" si="0"/>
        <v>3333</v>
      </c>
      <c r="C65" s="10">
        <f t="shared" si="1"/>
        <v>5.5549999999999997</v>
      </c>
      <c r="D65" s="10">
        <f t="shared" si="3"/>
        <v>0</v>
      </c>
      <c r="E65" s="5">
        <f t="shared" si="4"/>
        <v>5.5549999999999997</v>
      </c>
      <c r="F65" s="6"/>
      <c r="G65" s="6"/>
      <c r="H65" s="6"/>
      <c r="I65" s="6"/>
      <c r="J65" s="6"/>
    </row>
    <row r="66" spans="1:10">
      <c r="A66" s="16">
        <v>47</v>
      </c>
      <c r="B66" s="10">
        <f t="shared" si="0"/>
        <v>3333</v>
      </c>
      <c r="C66" s="10">
        <f t="shared" si="1"/>
        <v>5.5549999999999997</v>
      </c>
      <c r="D66" s="10">
        <f t="shared" si="3"/>
        <v>0</v>
      </c>
      <c r="E66" s="5">
        <f t="shared" si="4"/>
        <v>5.5549999999999997</v>
      </c>
      <c r="F66" s="6"/>
      <c r="G66" s="6"/>
      <c r="H66" s="6"/>
      <c r="I66" s="6"/>
      <c r="J66" s="6"/>
    </row>
    <row r="67" spans="1:10">
      <c r="A67" s="16">
        <v>48</v>
      </c>
      <c r="B67" s="10">
        <f t="shared" si="0"/>
        <v>3333</v>
      </c>
      <c r="C67" s="10">
        <f t="shared" si="1"/>
        <v>5.5549999999999997</v>
      </c>
      <c r="D67" s="10">
        <f t="shared" si="3"/>
        <v>0</v>
      </c>
      <c r="E67" s="5">
        <f t="shared" si="4"/>
        <v>5.5549999999999997</v>
      </c>
      <c r="F67" s="6"/>
      <c r="G67" s="6"/>
      <c r="H67" s="6"/>
      <c r="I67" s="6"/>
      <c r="J67" s="6"/>
    </row>
    <row r="68" spans="1:10">
      <c r="A68" s="16">
        <v>49</v>
      </c>
      <c r="B68" s="10">
        <f t="shared" si="0"/>
        <v>3333</v>
      </c>
      <c r="C68" s="10">
        <f t="shared" si="1"/>
        <v>5.5549999999999997</v>
      </c>
      <c r="D68" s="10">
        <f t="shared" si="3"/>
        <v>0</v>
      </c>
      <c r="E68" s="5">
        <f t="shared" si="4"/>
        <v>5.5549999999999997</v>
      </c>
      <c r="F68" s="6"/>
      <c r="G68" s="6"/>
      <c r="H68" s="6"/>
      <c r="I68" s="6"/>
      <c r="J68" s="6"/>
    </row>
    <row r="69" spans="1:10">
      <c r="A69" s="16">
        <v>50</v>
      </c>
      <c r="B69" s="10">
        <f t="shared" si="0"/>
        <v>3333</v>
      </c>
      <c r="C69" s="10">
        <f t="shared" si="1"/>
        <v>5.5549999999999997</v>
      </c>
      <c r="D69" s="10">
        <f t="shared" si="3"/>
        <v>0</v>
      </c>
      <c r="E69" s="5">
        <f t="shared" si="4"/>
        <v>5.5549999999999997</v>
      </c>
      <c r="F69" s="6"/>
      <c r="G69" s="6"/>
      <c r="H69" s="6"/>
      <c r="I69" s="6"/>
      <c r="J69" s="6"/>
    </row>
    <row r="70" spans="1:10">
      <c r="A70" s="16">
        <v>51</v>
      </c>
      <c r="B70" s="10">
        <f t="shared" si="0"/>
        <v>3333</v>
      </c>
      <c r="C70" s="10">
        <f t="shared" si="1"/>
        <v>5.5549999999999997</v>
      </c>
      <c r="D70" s="10">
        <f t="shared" si="3"/>
        <v>0</v>
      </c>
      <c r="E70" s="5">
        <f t="shared" si="4"/>
        <v>5.5549999999999997</v>
      </c>
      <c r="F70" s="6"/>
      <c r="G70" s="6"/>
      <c r="H70" s="6"/>
      <c r="I70" s="6"/>
      <c r="J70" s="6"/>
    </row>
    <row r="71" spans="1:10">
      <c r="A71" s="16">
        <v>52</v>
      </c>
      <c r="B71" s="10">
        <f t="shared" si="0"/>
        <v>3333</v>
      </c>
      <c r="C71" s="10">
        <f t="shared" si="1"/>
        <v>5.5549999999999997</v>
      </c>
      <c r="D71" s="10">
        <f t="shared" si="3"/>
        <v>0</v>
      </c>
      <c r="E71" s="5">
        <f t="shared" si="4"/>
        <v>5.5549999999999997</v>
      </c>
      <c r="F71" s="6"/>
      <c r="G71" s="6"/>
      <c r="H71" s="6"/>
      <c r="I71" s="6"/>
      <c r="J71" s="6"/>
    </row>
    <row r="72" spans="1:10">
      <c r="A72" s="16">
        <v>53</v>
      </c>
      <c r="B72" s="10">
        <f t="shared" si="0"/>
        <v>3333</v>
      </c>
      <c r="C72" s="10">
        <f t="shared" si="1"/>
        <v>5.5549999999999997</v>
      </c>
      <c r="D72" s="10">
        <f t="shared" si="3"/>
        <v>0</v>
      </c>
      <c r="E72" s="5">
        <f t="shared" si="4"/>
        <v>5.5549999999999997</v>
      </c>
      <c r="F72" s="6"/>
      <c r="G72" s="6"/>
      <c r="H72" s="6"/>
      <c r="I72" s="6"/>
      <c r="J72" s="6"/>
    </row>
    <row r="73" spans="1:10">
      <c r="A73" s="16">
        <v>54</v>
      </c>
      <c r="B73" s="10">
        <f t="shared" si="0"/>
        <v>3333</v>
      </c>
      <c r="C73" s="10">
        <f t="shared" si="1"/>
        <v>5.5549999999999997</v>
      </c>
      <c r="D73" s="10">
        <f t="shared" si="3"/>
        <v>0</v>
      </c>
      <c r="E73" s="5">
        <f t="shared" si="4"/>
        <v>5.5549999999999997</v>
      </c>
      <c r="F73" s="6"/>
      <c r="G73" s="6"/>
      <c r="H73" s="6"/>
      <c r="I73" s="6"/>
      <c r="J73" s="6"/>
    </row>
    <row r="74" spans="1:10">
      <c r="A74" s="16">
        <v>55</v>
      </c>
      <c r="B74" s="10">
        <f t="shared" si="0"/>
        <v>3333</v>
      </c>
      <c r="C74" s="10">
        <f t="shared" si="1"/>
        <v>5.5549999999999997</v>
      </c>
      <c r="D74" s="10">
        <f t="shared" si="3"/>
        <v>0</v>
      </c>
      <c r="E74" s="5">
        <f t="shared" si="4"/>
        <v>5.5549999999999997</v>
      </c>
      <c r="F74" s="6"/>
      <c r="G74" s="6"/>
      <c r="H74" s="6"/>
      <c r="I74" s="6"/>
      <c r="J74" s="6"/>
    </row>
    <row r="75" spans="1:10">
      <c r="A75" s="16">
        <v>56</v>
      </c>
      <c r="B75" s="10">
        <f t="shared" si="0"/>
        <v>3333</v>
      </c>
      <c r="C75" s="10">
        <f t="shared" si="1"/>
        <v>5.5549999999999997</v>
      </c>
      <c r="D75" s="10">
        <f t="shared" si="3"/>
        <v>0</v>
      </c>
      <c r="E75" s="5">
        <f t="shared" si="4"/>
        <v>5.5549999999999997</v>
      </c>
      <c r="F75" s="6"/>
      <c r="G75" s="6"/>
      <c r="H75" s="6"/>
      <c r="I75" s="6"/>
      <c r="J75" s="6"/>
    </row>
    <row r="76" spans="1:10">
      <c r="A76" s="16">
        <v>57</v>
      </c>
      <c r="B76" s="10">
        <f t="shared" si="0"/>
        <v>3333</v>
      </c>
      <c r="C76" s="10">
        <f t="shared" si="1"/>
        <v>5.5549999999999997</v>
      </c>
      <c r="D76" s="10">
        <f t="shared" si="3"/>
        <v>0</v>
      </c>
      <c r="E76" s="5">
        <f t="shared" si="4"/>
        <v>5.5549999999999997</v>
      </c>
      <c r="F76" s="6"/>
      <c r="G76" s="6"/>
      <c r="H76" s="6"/>
      <c r="I76" s="6"/>
      <c r="J76" s="6"/>
    </row>
    <row r="77" spans="1:10">
      <c r="A77" s="16">
        <v>58</v>
      </c>
      <c r="B77" s="10">
        <f t="shared" si="0"/>
        <v>3333</v>
      </c>
      <c r="C77" s="10">
        <f t="shared" si="1"/>
        <v>5.5549999999999997</v>
      </c>
      <c r="D77" s="10">
        <f t="shared" si="3"/>
        <v>0</v>
      </c>
      <c r="E77" s="5">
        <f t="shared" si="4"/>
        <v>5.5549999999999997</v>
      </c>
      <c r="F77" s="6"/>
      <c r="G77" s="6"/>
      <c r="H77" s="6"/>
      <c r="I77" s="6"/>
      <c r="J77" s="6"/>
    </row>
    <row r="78" spans="1:10">
      <c r="A78" s="16">
        <v>59</v>
      </c>
      <c r="B78" s="10">
        <f t="shared" si="0"/>
        <v>3333</v>
      </c>
      <c r="C78" s="10">
        <f t="shared" si="1"/>
        <v>5.5549999999999997</v>
      </c>
      <c r="D78" s="10">
        <f t="shared" si="3"/>
        <v>0</v>
      </c>
      <c r="E78" s="5">
        <f t="shared" si="4"/>
        <v>5.5549999999999997</v>
      </c>
      <c r="F78" s="6"/>
      <c r="G78" s="6"/>
      <c r="H78" s="6"/>
      <c r="I78" s="6"/>
      <c r="J78" s="6"/>
    </row>
    <row r="79" spans="1:10">
      <c r="A79" s="16">
        <v>60</v>
      </c>
      <c r="B79" s="10">
        <f t="shared" si="0"/>
        <v>3333</v>
      </c>
      <c r="C79" s="10">
        <f t="shared" si="1"/>
        <v>5.5549999999999997</v>
      </c>
      <c r="D79" s="10">
        <f t="shared" si="3"/>
        <v>0</v>
      </c>
      <c r="E79" s="5">
        <f t="shared" si="4"/>
        <v>5.5549999999999997</v>
      </c>
      <c r="F79" s="6"/>
      <c r="G79" s="6"/>
      <c r="H79" s="6"/>
      <c r="I79" s="6"/>
      <c r="J79" s="6"/>
    </row>
    <row r="80" spans="1:10">
      <c r="A80" s="16">
        <v>61</v>
      </c>
      <c r="B80" s="10">
        <f t="shared" si="0"/>
        <v>3333</v>
      </c>
      <c r="C80" s="10">
        <f t="shared" si="1"/>
        <v>5.5549999999999997</v>
      </c>
      <c r="D80" s="10">
        <f t="shared" si="3"/>
        <v>0</v>
      </c>
      <c r="E80" s="5">
        <f t="shared" si="4"/>
        <v>5.5549999999999997</v>
      </c>
      <c r="F80" s="6"/>
      <c r="G80" s="6"/>
      <c r="H80" s="6"/>
      <c r="I80" s="6"/>
      <c r="J80" s="6"/>
    </row>
    <row r="81" spans="1:10">
      <c r="A81" s="16">
        <v>62</v>
      </c>
      <c r="B81" s="10">
        <f t="shared" si="0"/>
        <v>3333</v>
      </c>
      <c r="C81" s="10">
        <f t="shared" si="1"/>
        <v>5.5549999999999997</v>
      </c>
      <c r="D81" s="10">
        <f t="shared" si="3"/>
        <v>0</v>
      </c>
      <c r="E81" s="5">
        <f t="shared" si="4"/>
        <v>5.5549999999999997</v>
      </c>
      <c r="F81" s="6"/>
      <c r="G81" s="6"/>
      <c r="H81" s="6"/>
      <c r="I81" s="6"/>
      <c r="J81" s="6"/>
    </row>
    <row r="82" spans="1:10">
      <c r="A82" s="16">
        <v>63</v>
      </c>
      <c r="B82" s="10">
        <f t="shared" si="0"/>
        <v>3333</v>
      </c>
      <c r="C82" s="10">
        <f t="shared" si="1"/>
        <v>5.5549999999999997</v>
      </c>
      <c r="D82" s="10">
        <f t="shared" si="3"/>
        <v>0</v>
      </c>
      <c r="E82" s="5">
        <f t="shared" si="4"/>
        <v>5.5549999999999997</v>
      </c>
      <c r="F82" s="6"/>
      <c r="G82" s="6"/>
      <c r="H82" s="6"/>
      <c r="I82" s="6"/>
      <c r="J82" s="6"/>
    </row>
    <row r="83" spans="1:10">
      <c r="A83" s="16">
        <v>64</v>
      </c>
      <c r="B83" s="10">
        <f t="shared" si="0"/>
        <v>3333</v>
      </c>
      <c r="C83" s="10">
        <f t="shared" si="1"/>
        <v>5.5549999999999997</v>
      </c>
      <c r="D83" s="10">
        <f t="shared" si="3"/>
        <v>0</v>
      </c>
      <c r="E83" s="5">
        <f t="shared" si="4"/>
        <v>5.5549999999999997</v>
      </c>
      <c r="F83" s="6"/>
      <c r="G83" s="6"/>
      <c r="H83" s="6"/>
      <c r="I83" s="6"/>
      <c r="J83" s="6"/>
    </row>
    <row r="84" spans="1:10">
      <c r="A84" s="16">
        <v>65</v>
      </c>
      <c r="B84" s="10">
        <f t="shared" ref="B84:B147" si="8">IF(A84&lt;=$D$5*12,B83-D84,0)</f>
        <v>3333</v>
      </c>
      <c r="C84" s="10">
        <f t="shared" ref="C84:C147" si="9">IF(A84&lt;=$D$5*12,B83*$D$6/12,0)</f>
        <v>5.5549999999999997</v>
      </c>
      <c r="D84" s="10">
        <f t="shared" si="3"/>
        <v>0</v>
      </c>
      <c r="E84" s="5">
        <f t="shared" si="4"/>
        <v>5.5549999999999997</v>
      </c>
      <c r="F84" s="6"/>
      <c r="G84" s="6"/>
      <c r="H84" s="6"/>
      <c r="I84" s="6"/>
      <c r="J84" s="6"/>
    </row>
    <row r="85" spans="1:10">
      <c r="A85" s="16">
        <v>66</v>
      </c>
      <c r="B85" s="10">
        <f t="shared" si="8"/>
        <v>3333</v>
      </c>
      <c r="C85" s="10">
        <f t="shared" si="9"/>
        <v>5.5549999999999997</v>
      </c>
      <c r="D85" s="10">
        <f t="shared" ref="D85:D148" si="10">IF($D$3="Annuitätendarlehen",IF(A85&lt;=$D$5*12,E85-C85,0),IF($D$3="Ratendarlehen",IF(AND(A85&lt;=$D$5*12,A85&gt;$D$7),$D$4/($D$5*12-$D$7),0),IF($D$3="Restwertdarlehen",IF(A85=$D$5*12,$D$4,0),0)))</f>
        <v>0</v>
      </c>
      <c r="E85" s="5">
        <f t="shared" ref="E85:E148" si="11">IF($D$3="Annuitätendarlehen",IF(AND(A85&lt;=$D$5*12,A85&gt;$D$7),PMT($D$6/12,$D$5*12-$D$7,-$D$4,$D$8,0),IF(A85&lt;=$D$7,C85,0)),IF($D$3="Ratendarlehen",IF(AND(A85&lt;=$D$5*12,A85&gt;$D$7),$D$4/($D$5*12-$D$7)+C85,IF(A85&lt;=$D$7,C85,0)),IF(AND($D$3="Restwertdarlehen",A85&lt;=$D$5*12),C85+D85,0)))</f>
        <v>5.5549999999999997</v>
      </c>
      <c r="F85" s="6"/>
      <c r="G85" s="6"/>
      <c r="H85" s="6"/>
      <c r="I85" s="6"/>
      <c r="J85" s="6"/>
    </row>
    <row r="86" spans="1:10">
      <c r="A86" s="16">
        <v>67</v>
      </c>
      <c r="B86" s="10">
        <f t="shared" si="8"/>
        <v>3333</v>
      </c>
      <c r="C86" s="10">
        <f t="shared" si="9"/>
        <v>5.5549999999999997</v>
      </c>
      <c r="D86" s="10">
        <f t="shared" si="10"/>
        <v>0</v>
      </c>
      <c r="E86" s="5">
        <f t="shared" si="11"/>
        <v>5.5549999999999997</v>
      </c>
      <c r="F86" s="6"/>
      <c r="G86" s="6"/>
      <c r="H86" s="6"/>
      <c r="I86" s="6"/>
      <c r="J86" s="6"/>
    </row>
    <row r="87" spans="1:10">
      <c r="A87" s="16">
        <v>68</v>
      </c>
      <c r="B87" s="10">
        <f t="shared" si="8"/>
        <v>3333</v>
      </c>
      <c r="C87" s="10">
        <f t="shared" si="9"/>
        <v>5.5549999999999997</v>
      </c>
      <c r="D87" s="10">
        <f t="shared" si="10"/>
        <v>0</v>
      </c>
      <c r="E87" s="5">
        <f t="shared" si="11"/>
        <v>5.5549999999999997</v>
      </c>
      <c r="F87" s="6"/>
      <c r="G87" s="6"/>
      <c r="H87" s="6"/>
      <c r="I87" s="6"/>
      <c r="J87" s="6"/>
    </row>
    <row r="88" spans="1:10">
      <c r="A88" s="16">
        <v>69</v>
      </c>
      <c r="B88" s="10">
        <f t="shared" si="8"/>
        <v>3333</v>
      </c>
      <c r="C88" s="10">
        <f t="shared" si="9"/>
        <v>5.5549999999999997</v>
      </c>
      <c r="D88" s="10">
        <f t="shared" si="10"/>
        <v>0</v>
      </c>
      <c r="E88" s="5">
        <f t="shared" si="11"/>
        <v>5.5549999999999997</v>
      </c>
      <c r="F88" s="6"/>
      <c r="G88" s="6"/>
      <c r="H88" s="6"/>
      <c r="I88" s="6"/>
      <c r="J88" s="6"/>
    </row>
    <row r="89" spans="1:10">
      <c r="A89" s="16">
        <v>70</v>
      </c>
      <c r="B89" s="10">
        <f t="shared" si="8"/>
        <v>3333</v>
      </c>
      <c r="C89" s="10">
        <f t="shared" si="9"/>
        <v>5.5549999999999997</v>
      </c>
      <c r="D89" s="10">
        <f t="shared" si="10"/>
        <v>0</v>
      </c>
      <c r="E89" s="5">
        <f t="shared" si="11"/>
        <v>5.5549999999999997</v>
      </c>
      <c r="F89" s="6"/>
      <c r="G89" s="6"/>
      <c r="H89" s="6"/>
      <c r="I89" s="6"/>
      <c r="J89" s="6"/>
    </row>
    <row r="90" spans="1:10">
      <c r="A90" s="16">
        <v>71</v>
      </c>
      <c r="B90" s="10">
        <f t="shared" si="8"/>
        <v>3333</v>
      </c>
      <c r="C90" s="10">
        <f t="shared" si="9"/>
        <v>5.5549999999999997</v>
      </c>
      <c r="D90" s="10">
        <f t="shared" si="10"/>
        <v>0</v>
      </c>
      <c r="E90" s="5">
        <f t="shared" si="11"/>
        <v>5.5549999999999997</v>
      </c>
      <c r="F90" s="6"/>
      <c r="G90" s="6"/>
      <c r="H90" s="6"/>
      <c r="I90" s="6"/>
      <c r="J90" s="6"/>
    </row>
    <row r="91" spans="1:10">
      <c r="A91" s="16">
        <v>72</v>
      </c>
      <c r="B91" s="10">
        <f t="shared" si="8"/>
        <v>3333</v>
      </c>
      <c r="C91" s="10">
        <f t="shared" si="9"/>
        <v>5.5549999999999997</v>
      </c>
      <c r="D91" s="10">
        <f t="shared" si="10"/>
        <v>0</v>
      </c>
      <c r="E91" s="5">
        <f t="shared" si="11"/>
        <v>5.5549999999999997</v>
      </c>
      <c r="F91" s="6"/>
      <c r="G91" s="6"/>
      <c r="H91" s="6"/>
      <c r="I91" s="6"/>
      <c r="J91" s="6"/>
    </row>
    <row r="92" spans="1:10">
      <c r="A92" s="16">
        <v>73</v>
      </c>
      <c r="B92" s="10">
        <f t="shared" si="8"/>
        <v>3333</v>
      </c>
      <c r="C92" s="10">
        <f t="shared" si="9"/>
        <v>5.5549999999999997</v>
      </c>
      <c r="D92" s="10">
        <f t="shared" si="10"/>
        <v>0</v>
      </c>
      <c r="E92" s="5">
        <f t="shared" si="11"/>
        <v>5.5549999999999997</v>
      </c>
      <c r="F92" s="6"/>
      <c r="G92" s="6"/>
      <c r="H92" s="6"/>
      <c r="I92" s="6"/>
      <c r="J92" s="6"/>
    </row>
    <row r="93" spans="1:10">
      <c r="A93" s="16">
        <v>74</v>
      </c>
      <c r="B93" s="10">
        <f t="shared" si="8"/>
        <v>3333</v>
      </c>
      <c r="C93" s="10">
        <f t="shared" si="9"/>
        <v>5.5549999999999997</v>
      </c>
      <c r="D93" s="10">
        <f t="shared" si="10"/>
        <v>0</v>
      </c>
      <c r="E93" s="5">
        <f t="shared" si="11"/>
        <v>5.5549999999999997</v>
      </c>
      <c r="F93" s="6"/>
      <c r="G93" s="6"/>
      <c r="H93" s="6"/>
      <c r="I93" s="6"/>
      <c r="J93" s="6"/>
    </row>
    <row r="94" spans="1:10">
      <c r="A94" s="16">
        <v>75</v>
      </c>
      <c r="B94" s="10">
        <f t="shared" si="8"/>
        <v>3333</v>
      </c>
      <c r="C94" s="10">
        <f t="shared" si="9"/>
        <v>5.5549999999999997</v>
      </c>
      <c r="D94" s="10">
        <f t="shared" si="10"/>
        <v>0</v>
      </c>
      <c r="E94" s="5">
        <f t="shared" si="11"/>
        <v>5.5549999999999997</v>
      </c>
      <c r="F94" s="6"/>
      <c r="G94" s="6"/>
      <c r="H94" s="6"/>
      <c r="I94" s="6"/>
      <c r="J94" s="6"/>
    </row>
    <row r="95" spans="1:10">
      <c r="A95" s="16">
        <v>76</v>
      </c>
      <c r="B95" s="10">
        <f t="shared" si="8"/>
        <v>3333</v>
      </c>
      <c r="C95" s="10">
        <f t="shared" si="9"/>
        <v>5.5549999999999997</v>
      </c>
      <c r="D95" s="10">
        <f t="shared" si="10"/>
        <v>0</v>
      </c>
      <c r="E95" s="5">
        <f t="shared" si="11"/>
        <v>5.5549999999999997</v>
      </c>
      <c r="F95" s="6"/>
      <c r="G95" s="6"/>
      <c r="H95" s="6"/>
      <c r="I95" s="6"/>
      <c r="J95" s="6"/>
    </row>
    <row r="96" spans="1:10">
      <c r="A96" s="16">
        <v>77</v>
      </c>
      <c r="B96" s="10">
        <f t="shared" si="8"/>
        <v>3333</v>
      </c>
      <c r="C96" s="10">
        <f t="shared" si="9"/>
        <v>5.5549999999999997</v>
      </c>
      <c r="D96" s="10">
        <f t="shared" si="10"/>
        <v>0</v>
      </c>
      <c r="E96" s="5">
        <f t="shared" si="11"/>
        <v>5.5549999999999997</v>
      </c>
      <c r="F96" s="6"/>
      <c r="G96" s="6"/>
      <c r="H96" s="6"/>
      <c r="I96" s="6"/>
      <c r="J96" s="6"/>
    </row>
    <row r="97" spans="1:10">
      <c r="A97" s="16">
        <v>78</v>
      </c>
      <c r="B97" s="10">
        <f t="shared" si="8"/>
        <v>3333</v>
      </c>
      <c r="C97" s="10">
        <f t="shared" si="9"/>
        <v>5.5549999999999997</v>
      </c>
      <c r="D97" s="10">
        <f t="shared" si="10"/>
        <v>0</v>
      </c>
      <c r="E97" s="5">
        <f t="shared" si="11"/>
        <v>5.5549999999999997</v>
      </c>
      <c r="F97" s="6"/>
      <c r="G97" s="6"/>
      <c r="H97" s="6"/>
      <c r="I97" s="6"/>
      <c r="J97" s="6"/>
    </row>
    <row r="98" spans="1:10">
      <c r="A98" s="16">
        <v>79</v>
      </c>
      <c r="B98" s="10">
        <f t="shared" si="8"/>
        <v>3333</v>
      </c>
      <c r="C98" s="10">
        <f t="shared" si="9"/>
        <v>5.5549999999999997</v>
      </c>
      <c r="D98" s="10">
        <f t="shared" si="10"/>
        <v>0</v>
      </c>
      <c r="E98" s="5">
        <f t="shared" si="11"/>
        <v>5.5549999999999997</v>
      </c>
      <c r="F98" s="6"/>
      <c r="G98" s="6"/>
      <c r="H98" s="6"/>
      <c r="I98" s="6"/>
      <c r="J98" s="6"/>
    </row>
    <row r="99" spans="1:10">
      <c r="A99" s="16">
        <v>80</v>
      </c>
      <c r="B99" s="10">
        <f t="shared" si="8"/>
        <v>3333</v>
      </c>
      <c r="C99" s="10">
        <f t="shared" si="9"/>
        <v>5.5549999999999997</v>
      </c>
      <c r="D99" s="10">
        <f t="shared" si="10"/>
        <v>0</v>
      </c>
      <c r="E99" s="5">
        <f t="shared" si="11"/>
        <v>5.5549999999999997</v>
      </c>
      <c r="F99" s="6"/>
      <c r="G99" s="6"/>
      <c r="H99" s="6"/>
      <c r="I99" s="6"/>
      <c r="J99" s="6"/>
    </row>
    <row r="100" spans="1:10">
      <c r="A100" s="16">
        <v>81</v>
      </c>
      <c r="B100" s="10">
        <f t="shared" si="8"/>
        <v>3333</v>
      </c>
      <c r="C100" s="10">
        <f t="shared" si="9"/>
        <v>5.5549999999999997</v>
      </c>
      <c r="D100" s="10">
        <f t="shared" si="10"/>
        <v>0</v>
      </c>
      <c r="E100" s="5">
        <f t="shared" si="11"/>
        <v>5.5549999999999997</v>
      </c>
      <c r="F100" s="6"/>
      <c r="G100" s="6"/>
      <c r="H100" s="6"/>
      <c r="I100" s="6"/>
      <c r="J100" s="6"/>
    </row>
    <row r="101" spans="1:10">
      <c r="A101" s="16">
        <v>82</v>
      </c>
      <c r="B101" s="10">
        <f t="shared" si="8"/>
        <v>3333</v>
      </c>
      <c r="C101" s="10">
        <f t="shared" si="9"/>
        <v>5.5549999999999997</v>
      </c>
      <c r="D101" s="10">
        <f t="shared" si="10"/>
        <v>0</v>
      </c>
      <c r="E101" s="5">
        <f t="shared" si="11"/>
        <v>5.5549999999999997</v>
      </c>
      <c r="F101" s="6"/>
      <c r="G101" s="6"/>
      <c r="H101" s="6"/>
      <c r="I101" s="6"/>
      <c r="J101" s="6"/>
    </row>
    <row r="102" spans="1:10">
      <c r="A102" s="16">
        <v>83</v>
      </c>
      <c r="B102" s="10">
        <f t="shared" si="8"/>
        <v>3333</v>
      </c>
      <c r="C102" s="10">
        <f t="shared" si="9"/>
        <v>5.5549999999999997</v>
      </c>
      <c r="D102" s="10">
        <f t="shared" si="10"/>
        <v>0</v>
      </c>
      <c r="E102" s="5">
        <f t="shared" si="11"/>
        <v>5.5549999999999997</v>
      </c>
      <c r="F102" s="6"/>
      <c r="G102" s="6"/>
      <c r="H102" s="6"/>
      <c r="I102" s="6"/>
      <c r="J102" s="6"/>
    </row>
    <row r="103" spans="1:10">
      <c r="A103" s="16">
        <v>84</v>
      </c>
      <c r="B103" s="10">
        <f t="shared" si="8"/>
        <v>3333</v>
      </c>
      <c r="C103" s="10">
        <f t="shared" si="9"/>
        <v>5.5549999999999997</v>
      </c>
      <c r="D103" s="10">
        <f t="shared" si="10"/>
        <v>0</v>
      </c>
      <c r="E103" s="5">
        <f t="shared" si="11"/>
        <v>5.5549999999999997</v>
      </c>
      <c r="F103" s="6"/>
      <c r="G103" s="6"/>
      <c r="H103" s="6"/>
      <c r="I103" s="6"/>
      <c r="J103" s="6"/>
    </row>
    <row r="104" spans="1:10">
      <c r="A104" s="16">
        <v>85</v>
      </c>
      <c r="B104" s="10">
        <f t="shared" si="8"/>
        <v>3333</v>
      </c>
      <c r="C104" s="10">
        <f t="shared" si="9"/>
        <v>5.5549999999999997</v>
      </c>
      <c r="D104" s="10">
        <f t="shared" si="10"/>
        <v>0</v>
      </c>
      <c r="E104" s="5">
        <f t="shared" si="11"/>
        <v>5.5549999999999997</v>
      </c>
      <c r="F104" s="6"/>
      <c r="G104" s="6"/>
      <c r="H104" s="6"/>
      <c r="I104" s="6"/>
      <c r="J104" s="6"/>
    </row>
    <row r="105" spans="1:10">
      <c r="A105" s="16">
        <v>86</v>
      </c>
      <c r="B105" s="10">
        <f t="shared" si="8"/>
        <v>3333</v>
      </c>
      <c r="C105" s="10">
        <f t="shared" si="9"/>
        <v>5.5549999999999997</v>
      </c>
      <c r="D105" s="10">
        <f t="shared" si="10"/>
        <v>0</v>
      </c>
      <c r="E105" s="5">
        <f t="shared" si="11"/>
        <v>5.5549999999999997</v>
      </c>
      <c r="F105" s="6"/>
      <c r="G105" s="6"/>
      <c r="H105" s="6"/>
      <c r="I105" s="6"/>
      <c r="J105" s="6"/>
    </row>
    <row r="106" spans="1:10">
      <c r="A106" s="16">
        <v>87</v>
      </c>
      <c r="B106" s="10">
        <f t="shared" si="8"/>
        <v>3333</v>
      </c>
      <c r="C106" s="10">
        <f t="shared" si="9"/>
        <v>5.5549999999999997</v>
      </c>
      <c r="D106" s="10">
        <f t="shared" si="10"/>
        <v>0</v>
      </c>
      <c r="E106" s="5">
        <f t="shared" si="11"/>
        <v>5.5549999999999997</v>
      </c>
      <c r="F106" s="6"/>
      <c r="G106" s="6"/>
      <c r="H106" s="6"/>
      <c r="I106" s="6"/>
      <c r="J106" s="6"/>
    </row>
    <row r="107" spans="1:10">
      <c r="A107" s="16">
        <v>88</v>
      </c>
      <c r="B107" s="10">
        <f t="shared" si="8"/>
        <v>3333</v>
      </c>
      <c r="C107" s="10">
        <f t="shared" si="9"/>
        <v>5.5549999999999997</v>
      </c>
      <c r="D107" s="10">
        <f t="shared" si="10"/>
        <v>0</v>
      </c>
      <c r="E107" s="5">
        <f t="shared" si="11"/>
        <v>5.5549999999999997</v>
      </c>
      <c r="F107" s="6"/>
      <c r="G107" s="6"/>
      <c r="H107" s="6"/>
      <c r="I107" s="6"/>
      <c r="J107" s="6"/>
    </row>
    <row r="108" spans="1:10">
      <c r="A108" s="16">
        <v>89</v>
      </c>
      <c r="B108" s="10">
        <f t="shared" si="8"/>
        <v>3333</v>
      </c>
      <c r="C108" s="10">
        <f t="shared" si="9"/>
        <v>5.5549999999999997</v>
      </c>
      <c r="D108" s="10">
        <f t="shared" si="10"/>
        <v>0</v>
      </c>
      <c r="E108" s="5">
        <f t="shared" si="11"/>
        <v>5.5549999999999997</v>
      </c>
      <c r="F108" s="6"/>
      <c r="G108" s="6"/>
      <c r="H108" s="6"/>
      <c r="I108" s="6"/>
      <c r="J108" s="6"/>
    </row>
    <row r="109" spans="1:10">
      <c r="A109" s="16">
        <v>90</v>
      </c>
      <c r="B109" s="10">
        <f t="shared" si="8"/>
        <v>3333</v>
      </c>
      <c r="C109" s="10">
        <f t="shared" si="9"/>
        <v>5.5549999999999997</v>
      </c>
      <c r="D109" s="10">
        <f t="shared" si="10"/>
        <v>0</v>
      </c>
      <c r="E109" s="5">
        <f t="shared" si="11"/>
        <v>5.5549999999999997</v>
      </c>
      <c r="F109" s="6"/>
      <c r="G109" s="6"/>
      <c r="H109" s="6"/>
      <c r="I109" s="6"/>
      <c r="J109" s="6"/>
    </row>
    <row r="110" spans="1:10">
      <c r="A110" s="16">
        <v>91</v>
      </c>
      <c r="B110" s="10">
        <f t="shared" si="8"/>
        <v>3333</v>
      </c>
      <c r="C110" s="10">
        <f t="shared" si="9"/>
        <v>5.5549999999999997</v>
      </c>
      <c r="D110" s="10">
        <f t="shared" si="10"/>
        <v>0</v>
      </c>
      <c r="E110" s="5">
        <f t="shared" si="11"/>
        <v>5.5549999999999997</v>
      </c>
      <c r="F110" s="6"/>
      <c r="G110" s="6"/>
      <c r="H110" s="6"/>
      <c r="I110" s="6"/>
      <c r="J110" s="6"/>
    </row>
    <row r="111" spans="1:10">
      <c r="A111" s="16">
        <v>92</v>
      </c>
      <c r="B111" s="10">
        <f t="shared" si="8"/>
        <v>3333</v>
      </c>
      <c r="C111" s="10">
        <f t="shared" si="9"/>
        <v>5.5549999999999997</v>
      </c>
      <c r="D111" s="10">
        <f t="shared" si="10"/>
        <v>0</v>
      </c>
      <c r="E111" s="5">
        <f t="shared" si="11"/>
        <v>5.5549999999999997</v>
      </c>
      <c r="F111" s="6"/>
      <c r="G111" s="6"/>
      <c r="H111" s="6"/>
      <c r="I111" s="6"/>
      <c r="J111" s="6"/>
    </row>
    <row r="112" spans="1:10">
      <c r="A112" s="16">
        <v>93</v>
      </c>
      <c r="B112" s="10">
        <f t="shared" si="8"/>
        <v>3333</v>
      </c>
      <c r="C112" s="10">
        <f t="shared" si="9"/>
        <v>5.5549999999999997</v>
      </c>
      <c r="D112" s="10">
        <f t="shared" si="10"/>
        <v>0</v>
      </c>
      <c r="E112" s="5">
        <f t="shared" si="11"/>
        <v>5.5549999999999997</v>
      </c>
      <c r="F112" s="6"/>
      <c r="G112" s="6"/>
      <c r="H112" s="6"/>
      <c r="I112" s="6"/>
      <c r="J112" s="6"/>
    </row>
    <row r="113" spans="1:10">
      <c r="A113" s="16">
        <v>94</v>
      </c>
      <c r="B113" s="10">
        <f t="shared" si="8"/>
        <v>3333</v>
      </c>
      <c r="C113" s="10">
        <f t="shared" si="9"/>
        <v>5.5549999999999997</v>
      </c>
      <c r="D113" s="10">
        <f t="shared" si="10"/>
        <v>0</v>
      </c>
      <c r="E113" s="5">
        <f t="shared" si="11"/>
        <v>5.5549999999999997</v>
      </c>
      <c r="F113" s="6"/>
      <c r="G113" s="6"/>
      <c r="H113" s="6"/>
      <c r="I113" s="6"/>
      <c r="J113" s="6"/>
    </row>
    <row r="114" spans="1:10">
      <c r="A114" s="16">
        <v>95</v>
      </c>
      <c r="B114" s="10">
        <f t="shared" si="8"/>
        <v>3333</v>
      </c>
      <c r="C114" s="10">
        <f t="shared" si="9"/>
        <v>5.5549999999999997</v>
      </c>
      <c r="D114" s="10">
        <f t="shared" si="10"/>
        <v>0</v>
      </c>
      <c r="E114" s="5">
        <f t="shared" si="11"/>
        <v>5.5549999999999997</v>
      </c>
      <c r="F114" s="6"/>
      <c r="G114" s="6"/>
      <c r="H114" s="6"/>
      <c r="I114" s="6"/>
      <c r="J114" s="6"/>
    </row>
    <row r="115" spans="1:10">
      <c r="A115" s="16">
        <v>96</v>
      </c>
      <c r="B115" s="10">
        <f t="shared" si="8"/>
        <v>3333</v>
      </c>
      <c r="C115" s="10">
        <f t="shared" si="9"/>
        <v>5.5549999999999997</v>
      </c>
      <c r="D115" s="10">
        <f t="shared" si="10"/>
        <v>0</v>
      </c>
      <c r="E115" s="5">
        <f t="shared" si="11"/>
        <v>5.5549999999999997</v>
      </c>
      <c r="F115" s="6"/>
      <c r="G115" s="6"/>
      <c r="H115" s="6"/>
      <c r="I115" s="6"/>
      <c r="J115" s="6"/>
    </row>
    <row r="116" spans="1:10">
      <c r="A116" s="16">
        <v>97</v>
      </c>
      <c r="B116" s="10">
        <f t="shared" si="8"/>
        <v>3333</v>
      </c>
      <c r="C116" s="10">
        <f t="shared" si="9"/>
        <v>5.5549999999999997</v>
      </c>
      <c r="D116" s="10">
        <f t="shared" si="10"/>
        <v>0</v>
      </c>
      <c r="E116" s="5">
        <f t="shared" si="11"/>
        <v>5.5549999999999997</v>
      </c>
      <c r="F116" s="6"/>
      <c r="G116" s="6"/>
      <c r="H116" s="6"/>
      <c r="I116" s="6"/>
      <c r="J116" s="6"/>
    </row>
    <row r="117" spans="1:10">
      <c r="A117" s="16">
        <v>98</v>
      </c>
      <c r="B117" s="10">
        <f t="shared" si="8"/>
        <v>3333</v>
      </c>
      <c r="C117" s="10">
        <f t="shared" si="9"/>
        <v>5.5549999999999997</v>
      </c>
      <c r="D117" s="10">
        <f t="shared" si="10"/>
        <v>0</v>
      </c>
      <c r="E117" s="5">
        <f t="shared" si="11"/>
        <v>5.5549999999999997</v>
      </c>
      <c r="F117" s="6"/>
      <c r="G117" s="6"/>
      <c r="H117" s="6"/>
      <c r="I117" s="6"/>
      <c r="J117" s="6"/>
    </row>
    <row r="118" spans="1:10">
      <c r="A118" s="16">
        <v>99</v>
      </c>
      <c r="B118" s="10">
        <f t="shared" si="8"/>
        <v>3333</v>
      </c>
      <c r="C118" s="10">
        <f t="shared" si="9"/>
        <v>5.5549999999999997</v>
      </c>
      <c r="D118" s="10">
        <f t="shared" si="10"/>
        <v>0</v>
      </c>
      <c r="E118" s="5">
        <f t="shared" si="11"/>
        <v>5.5549999999999997</v>
      </c>
      <c r="F118" s="6"/>
      <c r="G118" s="6"/>
      <c r="H118" s="6"/>
      <c r="I118" s="6"/>
      <c r="J118" s="6"/>
    </row>
    <row r="119" spans="1:10">
      <c r="A119" s="16">
        <v>100</v>
      </c>
      <c r="B119" s="10">
        <f t="shared" si="8"/>
        <v>3333</v>
      </c>
      <c r="C119" s="10">
        <f t="shared" si="9"/>
        <v>5.5549999999999997</v>
      </c>
      <c r="D119" s="10">
        <f t="shared" si="10"/>
        <v>0</v>
      </c>
      <c r="E119" s="5">
        <f t="shared" si="11"/>
        <v>5.5549999999999997</v>
      </c>
      <c r="F119" s="6"/>
      <c r="G119" s="6"/>
      <c r="H119" s="6"/>
      <c r="I119" s="6"/>
      <c r="J119" s="6"/>
    </row>
    <row r="120" spans="1:10">
      <c r="A120" s="16">
        <v>101</v>
      </c>
      <c r="B120" s="10">
        <f t="shared" si="8"/>
        <v>3333</v>
      </c>
      <c r="C120" s="10">
        <f t="shared" si="9"/>
        <v>5.5549999999999997</v>
      </c>
      <c r="D120" s="10">
        <f t="shared" si="10"/>
        <v>0</v>
      </c>
      <c r="E120" s="5">
        <f t="shared" si="11"/>
        <v>5.5549999999999997</v>
      </c>
      <c r="F120" s="6"/>
      <c r="G120" s="6"/>
      <c r="H120" s="6"/>
      <c r="I120" s="6"/>
      <c r="J120" s="6"/>
    </row>
    <row r="121" spans="1:10">
      <c r="A121" s="16">
        <v>102</v>
      </c>
      <c r="B121" s="10">
        <f t="shared" si="8"/>
        <v>3333</v>
      </c>
      <c r="C121" s="10">
        <f t="shared" si="9"/>
        <v>5.5549999999999997</v>
      </c>
      <c r="D121" s="10">
        <f t="shared" si="10"/>
        <v>0</v>
      </c>
      <c r="E121" s="5">
        <f t="shared" si="11"/>
        <v>5.5549999999999997</v>
      </c>
      <c r="F121" s="6"/>
      <c r="G121" s="6"/>
      <c r="H121" s="6"/>
      <c r="I121" s="6"/>
      <c r="J121" s="6"/>
    </row>
    <row r="122" spans="1:10">
      <c r="A122" s="16">
        <v>103</v>
      </c>
      <c r="B122" s="10">
        <f t="shared" si="8"/>
        <v>3333</v>
      </c>
      <c r="C122" s="10">
        <f t="shared" si="9"/>
        <v>5.5549999999999997</v>
      </c>
      <c r="D122" s="10">
        <f t="shared" si="10"/>
        <v>0</v>
      </c>
      <c r="E122" s="5">
        <f t="shared" si="11"/>
        <v>5.5549999999999997</v>
      </c>
      <c r="F122" s="6"/>
      <c r="G122" s="6"/>
      <c r="H122" s="6"/>
      <c r="I122" s="6"/>
      <c r="J122" s="6"/>
    </row>
    <row r="123" spans="1:10">
      <c r="A123" s="16">
        <v>104</v>
      </c>
      <c r="B123" s="10">
        <f t="shared" si="8"/>
        <v>3333</v>
      </c>
      <c r="C123" s="10">
        <f t="shared" si="9"/>
        <v>5.5549999999999997</v>
      </c>
      <c r="D123" s="10">
        <f t="shared" si="10"/>
        <v>0</v>
      </c>
      <c r="E123" s="5">
        <f t="shared" si="11"/>
        <v>5.5549999999999997</v>
      </c>
      <c r="F123" s="6"/>
      <c r="G123" s="6"/>
      <c r="H123" s="6"/>
      <c r="I123" s="6"/>
      <c r="J123" s="6"/>
    </row>
    <row r="124" spans="1:10">
      <c r="A124" s="16">
        <v>105</v>
      </c>
      <c r="B124" s="10">
        <f t="shared" si="8"/>
        <v>3333</v>
      </c>
      <c r="C124" s="10">
        <f t="shared" si="9"/>
        <v>5.5549999999999997</v>
      </c>
      <c r="D124" s="10">
        <f t="shared" si="10"/>
        <v>0</v>
      </c>
      <c r="E124" s="5">
        <f t="shared" si="11"/>
        <v>5.5549999999999997</v>
      </c>
      <c r="F124" s="6"/>
      <c r="G124" s="6"/>
      <c r="H124" s="6"/>
      <c r="I124" s="6"/>
      <c r="J124" s="6"/>
    </row>
    <row r="125" spans="1:10">
      <c r="A125" s="16">
        <v>106</v>
      </c>
      <c r="B125" s="10">
        <f t="shared" si="8"/>
        <v>3333</v>
      </c>
      <c r="C125" s="10">
        <f t="shared" si="9"/>
        <v>5.5549999999999997</v>
      </c>
      <c r="D125" s="10">
        <f t="shared" si="10"/>
        <v>0</v>
      </c>
      <c r="E125" s="5">
        <f t="shared" si="11"/>
        <v>5.5549999999999997</v>
      </c>
      <c r="F125" s="6"/>
      <c r="G125" s="6"/>
      <c r="H125" s="6"/>
      <c r="I125" s="6"/>
      <c r="J125" s="6"/>
    </row>
    <row r="126" spans="1:10">
      <c r="A126" s="16">
        <v>107</v>
      </c>
      <c r="B126" s="10">
        <f t="shared" si="8"/>
        <v>3333</v>
      </c>
      <c r="C126" s="10">
        <f t="shared" si="9"/>
        <v>5.5549999999999997</v>
      </c>
      <c r="D126" s="10">
        <f t="shared" si="10"/>
        <v>0</v>
      </c>
      <c r="E126" s="5">
        <f t="shared" si="11"/>
        <v>5.5549999999999997</v>
      </c>
      <c r="F126" s="6"/>
      <c r="G126" s="6"/>
      <c r="H126" s="6"/>
      <c r="I126" s="6"/>
      <c r="J126" s="6"/>
    </row>
    <row r="127" spans="1:10">
      <c r="A127" s="16">
        <v>108</v>
      </c>
      <c r="B127" s="10">
        <f t="shared" si="8"/>
        <v>3333</v>
      </c>
      <c r="C127" s="10">
        <f t="shared" si="9"/>
        <v>5.5549999999999997</v>
      </c>
      <c r="D127" s="10">
        <f t="shared" si="10"/>
        <v>0</v>
      </c>
      <c r="E127" s="5">
        <f t="shared" si="11"/>
        <v>5.5549999999999997</v>
      </c>
      <c r="F127" s="6"/>
      <c r="G127" s="6"/>
      <c r="H127" s="6"/>
      <c r="I127" s="6"/>
      <c r="J127" s="6"/>
    </row>
    <row r="128" spans="1:10">
      <c r="A128" s="16">
        <v>109</v>
      </c>
      <c r="B128" s="10">
        <f t="shared" si="8"/>
        <v>3333</v>
      </c>
      <c r="C128" s="10">
        <f t="shared" si="9"/>
        <v>5.5549999999999997</v>
      </c>
      <c r="D128" s="10">
        <f t="shared" si="10"/>
        <v>0</v>
      </c>
      <c r="E128" s="5">
        <f t="shared" si="11"/>
        <v>5.5549999999999997</v>
      </c>
      <c r="F128" s="6"/>
      <c r="G128" s="6"/>
      <c r="H128" s="6"/>
      <c r="I128" s="6"/>
      <c r="J128" s="6"/>
    </row>
    <row r="129" spans="1:10">
      <c r="A129" s="16">
        <v>110</v>
      </c>
      <c r="B129" s="10">
        <f t="shared" si="8"/>
        <v>3333</v>
      </c>
      <c r="C129" s="10">
        <f t="shared" si="9"/>
        <v>5.5549999999999997</v>
      </c>
      <c r="D129" s="10">
        <f t="shared" si="10"/>
        <v>0</v>
      </c>
      <c r="E129" s="5">
        <f t="shared" si="11"/>
        <v>5.5549999999999997</v>
      </c>
      <c r="F129" s="6"/>
      <c r="G129" s="6"/>
      <c r="H129" s="6"/>
      <c r="I129" s="6"/>
      <c r="J129" s="6"/>
    </row>
    <row r="130" spans="1:10">
      <c r="A130" s="16">
        <v>111</v>
      </c>
      <c r="B130" s="10">
        <f t="shared" si="8"/>
        <v>3333</v>
      </c>
      <c r="C130" s="10">
        <f t="shared" si="9"/>
        <v>5.5549999999999997</v>
      </c>
      <c r="D130" s="10">
        <f t="shared" si="10"/>
        <v>0</v>
      </c>
      <c r="E130" s="5">
        <f t="shared" si="11"/>
        <v>5.5549999999999997</v>
      </c>
      <c r="F130" s="6"/>
      <c r="G130" s="6"/>
      <c r="H130" s="6"/>
      <c r="I130" s="6"/>
      <c r="J130" s="6"/>
    </row>
    <row r="131" spans="1:10">
      <c r="A131" s="16">
        <v>112</v>
      </c>
      <c r="B131" s="10">
        <f t="shared" si="8"/>
        <v>3333</v>
      </c>
      <c r="C131" s="10">
        <f t="shared" si="9"/>
        <v>5.5549999999999997</v>
      </c>
      <c r="D131" s="10">
        <f t="shared" si="10"/>
        <v>0</v>
      </c>
      <c r="E131" s="5">
        <f t="shared" si="11"/>
        <v>5.5549999999999997</v>
      </c>
      <c r="F131" s="6"/>
      <c r="G131" s="6"/>
      <c r="H131" s="6"/>
      <c r="I131" s="6"/>
      <c r="J131" s="6"/>
    </row>
    <row r="132" spans="1:10">
      <c r="A132" s="16">
        <v>113</v>
      </c>
      <c r="B132" s="10">
        <f t="shared" si="8"/>
        <v>3333</v>
      </c>
      <c r="C132" s="10">
        <f t="shared" si="9"/>
        <v>5.5549999999999997</v>
      </c>
      <c r="D132" s="10">
        <f t="shared" si="10"/>
        <v>0</v>
      </c>
      <c r="E132" s="5">
        <f t="shared" si="11"/>
        <v>5.5549999999999997</v>
      </c>
      <c r="F132" s="6"/>
      <c r="G132" s="6"/>
      <c r="H132" s="6"/>
      <c r="I132" s="6"/>
      <c r="J132" s="6"/>
    </row>
    <row r="133" spans="1:10">
      <c r="A133" s="16">
        <v>114</v>
      </c>
      <c r="B133" s="10">
        <f t="shared" si="8"/>
        <v>3333</v>
      </c>
      <c r="C133" s="10">
        <f t="shared" si="9"/>
        <v>5.5549999999999997</v>
      </c>
      <c r="D133" s="10">
        <f t="shared" si="10"/>
        <v>0</v>
      </c>
      <c r="E133" s="5">
        <f t="shared" si="11"/>
        <v>5.5549999999999997</v>
      </c>
      <c r="F133" s="6"/>
      <c r="G133" s="6"/>
      <c r="H133" s="6"/>
      <c r="I133" s="6"/>
      <c r="J133" s="6"/>
    </row>
    <row r="134" spans="1:10">
      <c r="A134" s="16">
        <v>115</v>
      </c>
      <c r="B134" s="10">
        <f t="shared" si="8"/>
        <v>3333</v>
      </c>
      <c r="C134" s="10">
        <f t="shared" si="9"/>
        <v>5.5549999999999997</v>
      </c>
      <c r="D134" s="10">
        <f t="shared" si="10"/>
        <v>0</v>
      </c>
      <c r="E134" s="5">
        <f t="shared" si="11"/>
        <v>5.5549999999999997</v>
      </c>
      <c r="F134" s="6"/>
      <c r="G134" s="6"/>
      <c r="H134" s="6"/>
      <c r="I134" s="6"/>
      <c r="J134" s="6"/>
    </row>
    <row r="135" spans="1:10">
      <c r="A135" s="16">
        <v>116</v>
      </c>
      <c r="B135" s="10">
        <f t="shared" si="8"/>
        <v>3333</v>
      </c>
      <c r="C135" s="10">
        <f t="shared" si="9"/>
        <v>5.5549999999999997</v>
      </c>
      <c r="D135" s="10">
        <f t="shared" si="10"/>
        <v>0</v>
      </c>
      <c r="E135" s="5">
        <f t="shared" si="11"/>
        <v>5.5549999999999997</v>
      </c>
      <c r="F135" s="6"/>
      <c r="G135" s="6"/>
      <c r="H135" s="6"/>
      <c r="I135" s="6"/>
      <c r="J135" s="6"/>
    </row>
    <row r="136" spans="1:10">
      <c r="A136" s="16">
        <v>117</v>
      </c>
      <c r="B136" s="10">
        <f t="shared" si="8"/>
        <v>3333</v>
      </c>
      <c r="C136" s="10">
        <f t="shared" si="9"/>
        <v>5.5549999999999997</v>
      </c>
      <c r="D136" s="10">
        <f t="shared" si="10"/>
        <v>0</v>
      </c>
      <c r="E136" s="5">
        <f t="shared" si="11"/>
        <v>5.5549999999999997</v>
      </c>
      <c r="F136" s="6"/>
      <c r="G136" s="6"/>
      <c r="H136" s="6"/>
      <c r="I136" s="6"/>
      <c r="J136" s="6"/>
    </row>
    <row r="137" spans="1:10">
      <c r="A137" s="16">
        <v>118</v>
      </c>
      <c r="B137" s="10">
        <f t="shared" si="8"/>
        <v>3333</v>
      </c>
      <c r="C137" s="10">
        <f t="shared" si="9"/>
        <v>5.5549999999999997</v>
      </c>
      <c r="D137" s="10">
        <f t="shared" si="10"/>
        <v>0</v>
      </c>
      <c r="E137" s="5">
        <f t="shared" si="11"/>
        <v>5.5549999999999997</v>
      </c>
      <c r="F137" s="6"/>
      <c r="G137" s="6"/>
      <c r="H137" s="6"/>
      <c r="I137" s="6"/>
      <c r="J137" s="6"/>
    </row>
    <row r="138" spans="1:10">
      <c r="A138" s="16">
        <v>119</v>
      </c>
      <c r="B138" s="10">
        <f t="shared" si="8"/>
        <v>3333</v>
      </c>
      <c r="C138" s="10">
        <f t="shared" si="9"/>
        <v>5.5549999999999997</v>
      </c>
      <c r="D138" s="10">
        <f t="shared" si="10"/>
        <v>0</v>
      </c>
      <c r="E138" s="5">
        <f t="shared" si="11"/>
        <v>5.5549999999999997</v>
      </c>
      <c r="F138" s="6"/>
      <c r="G138" s="6"/>
      <c r="H138" s="6"/>
      <c r="I138" s="6"/>
      <c r="J138" s="6"/>
    </row>
    <row r="139" spans="1:10">
      <c r="A139" s="16">
        <v>120</v>
      </c>
      <c r="B139" s="10">
        <f t="shared" si="8"/>
        <v>0</v>
      </c>
      <c r="C139" s="10">
        <f t="shared" si="9"/>
        <v>5.5549999999999997</v>
      </c>
      <c r="D139" s="10">
        <f t="shared" si="10"/>
        <v>3333</v>
      </c>
      <c r="E139" s="5">
        <f t="shared" si="11"/>
        <v>3338.5549999999998</v>
      </c>
      <c r="F139" s="6"/>
      <c r="G139" s="6"/>
      <c r="H139" s="6"/>
      <c r="I139" s="6"/>
      <c r="J139" s="6"/>
    </row>
    <row r="140" spans="1:10">
      <c r="A140" s="16">
        <v>121</v>
      </c>
      <c r="B140" s="10">
        <f t="shared" si="8"/>
        <v>0</v>
      </c>
      <c r="C140" s="10">
        <f t="shared" si="9"/>
        <v>0</v>
      </c>
      <c r="D140" s="10">
        <f t="shared" si="10"/>
        <v>0</v>
      </c>
      <c r="E140" s="5">
        <f t="shared" si="11"/>
        <v>0</v>
      </c>
      <c r="F140" s="6"/>
      <c r="G140" s="6"/>
      <c r="H140" s="6"/>
      <c r="I140" s="6"/>
      <c r="J140" s="6"/>
    </row>
    <row r="141" spans="1:10">
      <c r="A141" s="16">
        <v>122</v>
      </c>
      <c r="B141" s="10">
        <f t="shared" si="8"/>
        <v>0</v>
      </c>
      <c r="C141" s="10">
        <f t="shared" si="9"/>
        <v>0</v>
      </c>
      <c r="D141" s="10">
        <f t="shared" si="10"/>
        <v>0</v>
      </c>
      <c r="E141" s="5">
        <f t="shared" si="11"/>
        <v>0</v>
      </c>
      <c r="F141" s="6"/>
      <c r="G141" s="6"/>
      <c r="H141" s="6"/>
      <c r="I141" s="6"/>
      <c r="J141" s="6"/>
    </row>
    <row r="142" spans="1:10">
      <c r="A142" s="16">
        <v>123</v>
      </c>
      <c r="B142" s="10">
        <f t="shared" si="8"/>
        <v>0</v>
      </c>
      <c r="C142" s="10">
        <f t="shared" si="9"/>
        <v>0</v>
      </c>
      <c r="D142" s="10">
        <f t="shared" si="10"/>
        <v>0</v>
      </c>
      <c r="E142" s="5">
        <f t="shared" si="11"/>
        <v>0</v>
      </c>
      <c r="F142" s="6"/>
      <c r="G142" s="6"/>
      <c r="H142" s="6"/>
      <c r="I142" s="6"/>
      <c r="J142" s="6"/>
    </row>
    <row r="143" spans="1:10">
      <c r="A143" s="16">
        <v>124</v>
      </c>
      <c r="B143" s="10">
        <f t="shared" si="8"/>
        <v>0</v>
      </c>
      <c r="C143" s="10">
        <f t="shared" si="9"/>
        <v>0</v>
      </c>
      <c r="D143" s="10">
        <f t="shared" si="10"/>
        <v>0</v>
      </c>
      <c r="E143" s="5">
        <f t="shared" si="11"/>
        <v>0</v>
      </c>
      <c r="F143" s="6"/>
      <c r="G143" s="6"/>
      <c r="H143" s="6"/>
      <c r="I143" s="6"/>
      <c r="J143" s="6"/>
    </row>
    <row r="144" spans="1:10">
      <c r="A144" s="16">
        <v>125</v>
      </c>
      <c r="B144" s="10">
        <f t="shared" si="8"/>
        <v>0</v>
      </c>
      <c r="C144" s="10">
        <f t="shared" si="9"/>
        <v>0</v>
      </c>
      <c r="D144" s="10">
        <f t="shared" si="10"/>
        <v>0</v>
      </c>
      <c r="E144" s="5">
        <f t="shared" si="11"/>
        <v>0</v>
      </c>
      <c r="F144" s="6"/>
      <c r="G144" s="6"/>
      <c r="H144" s="6"/>
      <c r="I144" s="6"/>
      <c r="J144" s="6"/>
    </row>
    <row r="145" spans="1:10">
      <c r="A145" s="16">
        <v>126</v>
      </c>
      <c r="B145" s="10">
        <f t="shared" si="8"/>
        <v>0</v>
      </c>
      <c r="C145" s="10">
        <f t="shared" si="9"/>
        <v>0</v>
      </c>
      <c r="D145" s="10">
        <f t="shared" si="10"/>
        <v>0</v>
      </c>
      <c r="E145" s="5">
        <f t="shared" si="11"/>
        <v>0</v>
      </c>
      <c r="F145" s="6"/>
      <c r="G145" s="6"/>
      <c r="H145" s="6"/>
      <c r="I145" s="6"/>
      <c r="J145" s="6"/>
    </row>
    <row r="146" spans="1:10">
      <c r="A146" s="16">
        <v>127</v>
      </c>
      <c r="B146" s="10">
        <f t="shared" si="8"/>
        <v>0</v>
      </c>
      <c r="C146" s="10">
        <f t="shared" si="9"/>
        <v>0</v>
      </c>
      <c r="D146" s="10">
        <f t="shared" si="10"/>
        <v>0</v>
      </c>
      <c r="E146" s="5">
        <f t="shared" si="11"/>
        <v>0</v>
      </c>
      <c r="F146" s="6"/>
      <c r="G146" s="6"/>
      <c r="H146" s="6"/>
      <c r="I146" s="6"/>
      <c r="J146" s="6"/>
    </row>
    <row r="147" spans="1:10">
      <c r="A147" s="16">
        <v>128</v>
      </c>
      <c r="B147" s="10">
        <f t="shared" si="8"/>
        <v>0</v>
      </c>
      <c r="C147" s="10">
        <f t="shared" si="9"/>
        <v>0</v>
      </c>
      <c r="D147" s="10">
        <f t="shared" si="10"/>
        <v>0</v>
      </c>
      <c r="E147" s="5">
        <f t="shared" si="11"/>
        <v>0</v>
      </c>
      <c r="F147" s="6"/>
      <c r="G147" s="6"/>
      <c r="H147" s="6"/>
      <c r="I147" s="6"/>
      <c r="J147" s="6"/>
    </row>
    <row r="148" spans="1:10">
      <c r="A148" s="16">
        <v>129</v>
      </c>
      <c r="B148" s="10">
        <f t="shared" ref="B148:B211" si="12">IF(A148&lt;=$D$5*12,B147-D148,0)</f>
        <v>0</v>
      </c>
      <c r="C148" s="10">
        <f t="shared" ref="C148:C211" si="13">IF(A148&lt;=$D$5*12,B147*$D$6/12,0)</f>
        <v>0</v>
      </c>
      <c r="D148" s="10">
        <f t="shared" si="10"/>
        <v>0</v>
      </c>
      <c r="E148" s="5">
        <f t="shared" si="11"/>
        <v>0</v>
      </c>
      <c r="F148" s="6"/>
      <c r="G148" s="6"/>
      <c r="H148" s="6"/>
      <c r="I148" s="6"/>
      <c r="J148" s="6"/>
    </row>
    <row r="149" spans="1:10">
      <c r="A149" s="16">
        <v>130</v>
      </c>
      <c r="B149" s="10">
        <f t="shared" si="12"/>
        <v>0</v>
      </c>
      <c r="C149" s="10">
        <f t="shared" si="13"/>
        <v>0</v>
      </c>
      <c r="D149" s="10">
        <f t="shared" ref="D149:D212" si="14">IF($D$3="Annuitätendarlehen",IF(A149&lt;=$D$5*12,E149-C149,0),IF($D$3="Ratendarlehen",IF(AND(A149&lt;=$D$5*12,A149&gt;$D$7),$D$4/($D$5*12-$D$7),0),IF($D$3="Restwertdarlehen",IF(A149=$D$5*12,$D$4,0),0)))</f>
        <v>0</v>
      </c>
      <c r="E149" s="5">
        <f t="shared" ref="E149:E212" si="15">IF($D$3="Annuitätendarlehen",IF(AND(A149&lt;=$D$5*12,A149&gt;$D$7),PMT($D$6/12,$D$5*12-$D$7,-$D$4,$D$8,0),IF(A149&lt;=$D$7,C149,0)),IF($D$3="Ratendarlehen",IF(AND(A149&lt;=$D$5*12,A149&gt;$D$7),$D$4/($D$5*12-$D$7)+C149,IF(A149&lt;=$D$7,C149,0)),IF(AND($D$3="Restwertdarlehen",A149&lt;=$D$5*12),C149+D149,0)))</f>
        <v>0</v>
      </c>
      <c r="F149" s="6"/>
      <c r="G149" s="6"/>
      <c r="H149" s="6"/>
      <c r="I149" s="6"/>
      <c r="J149" s="6"/>
    </row>
    <row r="150" spans="1:10">
      <c r="A150" s="16">
        <v>131</v>
      </c>
      <c r="B150" s="10">
        <f t="shared" si="12"/>
        <v>0</v>
      </c>
      <c r="C150" s="10">
        <f t="shared" si="13"/>
        <v>0</v>
      </c>
      <c r="D150" s="10">
        <f t="shared" si="14"/>
        <v>0</v>
      </c>
      <c r="E150" s="5">
        <f t="shared" si="15"/>
        <v>0</v>
      </c>
      <c r="F150" s="6"/>
      <c r="G150" s="6"/>
      <c r="H150" s="6"/>
      <c r="I150" s="6"/>
      <c r="J150" s="6"/>
    </row>
    <row r="151" spans="1:10">
      <c r="A151" s="16">
        <v>132</v>
      </c>
      <c r="B151" s="10">
        <f t="shared" si="12"/>
        <v>0</v>
      </c>
      <c r="C151" s="10">
        <f t="shared" si="13"/>
        <v>0</v>
      </c>
      <c r="D151" s="10">
        <f t="shared" si="14"/>
        <v>0</v>
      </c>
      <c r="E151" s="5">
        <f t="shared" si="15"/>
        <v>0</v>
      </c>
      <c r="F151" s="6"/>
      <c r="G151" s="6"/>
      <c r="H151" s="6"/>
      <c r="I151" s="6"/>
      <c r="J151" s="6"/>
    </row>
    <row r="152" spans="1:10">
      <c r="A152" s="16">
        <v>133</v>
      </c>
      <c r="B152" s="10">
        <f t="shared" si="12"/>
        <v>0</v>
      </c>
      <c r="C152" s="10">
        <f t="shared" si="13"/>
        <v>0</v>
      </c>
      <c r="D152" s="10">
        <f t="shared" si="14"/>
        <v>0</v>
      </c>
      <c r="E152" s="5">
        <f t="shared" si="15"/>
        <v>0</v>
      </c>
      <c r="F152" s="6"/>
      <c r="G152" s="6"/>
      <c r="H152" s="6"/>
      <c r="I152" s="6"/>
      <c r="J152" s="6"/>
    </row>
    <row r="153" spans="1:10">
      <c r="A153" s="16">
        <v>134</v>
      </c>
      <c r="B153" s="10">
        <f t="shared" si="12"/>
        <v>0</v>
      </c>
      <c r="C153" s="10">
        <f t="shared" si="13"/>
        <v>0</v>
      </c>
      <c r="D153" s="10">
        <f t="shared" si="14"/>
        <v>0</v>
      </c>
      <c r="E153" s="5">
        <f t="shared" si="15"/>
        <v>0</v>
      </c>
      <c r="F153" s="6"/>
      <c r="G153" s="6"/>
      <c r="H153" s="6"/>
      <c r="I153" s="6"/>
      <c r="J153" s="6"/>
    </row>
    <row r="154" spans="1:10">
      <c r="A154" s="16">
        <v>135</v>
      </c>
      <c r="B154" s="10">
        <f t="shared" si="12"/>
        <v>0</v>
      </c>
      <c r="C154" s="10">
        <f t="shared" si="13"/>
        <v>0</v>
      </c>
      <c r="D154" s="10">
        <f t="shared" si="14"/>
        <v>0</v>
      </c>
      <c r="E154" s="5">
        <f t="shared" si="15"/>
        <v>0</v>
      </c>
      <c r="F154" s="6"/>
      <c r="G154" s="6"/>
      <c r="H154" s="6"/>
      <c r="I154" s="6"/>
      <c r="J154" s="6"/>
    </row>
    <row r="155" spans="1:10">
      <c r="A155" s="16">
        <v>136</v>
      </c>
      <c r="B155" s="10">
        <f t="shared" si="12"/>
        <v>0</v>
      </c>
      <c r="C155" s="10">
        <f t="shared" si="13"/>
        <v>0</v>
      </c>
      <c r="D155" s="10">
        <f t="shared" si="14"/>
        <v>0</v>
      </c>
      <c r="E155" s="5">
        <f t="shared" si="15"/>
        <v>0</v>
      </c>
      <c r="F155" s="6"/>
      <c r="G155" s="6"/>
      <c r="H155" s="6"/>
      <c r="I155" s="6"/>
      <c r="J155" s="6"/>
    </row>
    <row r="156" spans="1:10">
      <c r="A156" s="16">
        <v>137</v>
      </c>
      <c r="B156" s="10">
        <f t="shared" si="12"/>
        <v>0</v>
      </c>
      <c r="C156" s="10">
        <f t="shared" si="13"/>
        <v>0</v>
      </c>
      <c r="D156" s="10">
        <f t="shared" si="14"/>
        <v>0</v>
      </c>
      <c r="E156" s="5">
        <f t="shared" si="15"/>
        <v>0</v>
      </c>
      <c r="F156" s="6"/>
      <c r="G156" s="6"/>
      <c r="H156" s="6"/>
      <c r="I156" s="6"/>
      <c r="J156" s="6"/>
    </row>
    <row r="157" spans="1:10">
      <c r="A157" s="16">
        <v>138</v>
      </c>
      <c r="B157" s="10">
        <f t="shared" si="12"/>
        <v>0</v>
      </c>
      <c r="C157" s="10">
        <f t="shared" si="13"/>
        <v>0</v>
      </c>
      <c r="D157" s="10">
        <f t="shared" si="14"/>
        <v>0</v>
      </c>
      <c r="E157" s="5">
        <f t="shared" si="15"/>
        <v>0</v>
      </c>
      <c r="F157" s="6"/>
      <c r="G157" s="6"/>
      <c r="H157" s="6"/>
      <c r="I157" s="6"/>
      <c r="J157" s="6"/>
    </row>
    <row r="158" spans="1:10">
      <c r="A158" s="16">
        <v>139</v>
      </c>
      <c r="B158" s="10">
        <f t="shared" si="12"/>
        <v>0</v>
      </c>
      <c r="C158" s="10">
        <f t="shared" si="13"/>
        <v>0</v>
      </c>
      <c r="D158" s="10">
        <f t="shared" si="14"/>
        <v>0</v>
      </c>
      <c r="E158" s="5">
        <f t="shared" si="15"/>
        <v>0</v>
      </c>
      <c r="F158" s="6"/>
      <c r="G158" s="6"/>
      <c r="H158" s="6"/>
      <c r="I158" s="6"/>
      <c r="J158" s="6"/>
    </row>
    <row r="159" spans="1:10">
      <c r="A159" s="16">
        <v>140</v>
      </c>
      <c r="B159" s="10">
        <f t="shared" si="12"/>
        <v>0</v>
      </c>
      <c r="C159" s="10">
        <f t="shared" si="13"/>
        <v>0</v>
      </c>
      <c r="D159" s="10">
        <f t="shared" si="14"/>
        <v>0</v>
      </c>
      <c r="E159" s="5">
        <f t="shared" si="15"/>
        <v>0</v>
      </c>
      <c r="F159" s="6"/>
      <c r="G159" s="6"/>
      <c r="H159" s="6"/>
      <c r="I159" s="6"/>
      <c r="J159" s="6"/>
    </row>
    <row r="160" spans="1:10">
      <c r="A160" s="16">
        <v>141</v>
      </c>
      <c r="B160" s="10">
        <f t="shared" si="12"/>
        <v>0</v>
      </c>
      <c r="C160" s="10">
        <f t="shared" si="13"/>
        <v>0</v>
      </c>
      <c r="D160" s="10">
        <f t="shared" si="14"/>
        <v>0</v>
      </c>
      <c r="E160" s="5">
        <f t="shared" si="15"/>
        <v>0</v>
      </c>
      <c r="F160" s="6"/>
      <c r="G160" s="6"/>
      <c r="H160" s="6"/>
      <c r="I160" s="6"/>
      <c r="J160" s="6"/>
    </row>
    <row r="161" spans="1:10">
      <c r="A161" s="16">
        <v>142</v>
      </c>
      <c r="B161" s="10">
        <f t="shared" si="12"/>
        <v>0</v>
      </c>
      <c r="C161" s="10">
        <f t="shared" si="13"/>
        <v>0</v>
      </c>
      <c r="D161" s="10">
        <f t="shared" si="14"/>
        <v>0</v>
      </c>
      <c r="E161" s="5">
        <f t="shared" si="15"/>
        <v>0</v>
      </c>
      <c r="F161" s="6"/>
      <c r="G161" s="6"/>
      <c r="H161" s="6"/>
      <c r="I161" s="6"/>
      <c r="J161" s="6"/>
    </row>
    <row r="162" spans="1:10">
      <c r="A162" s="16">
        <v>143</v>
      </c>
      <c r="B162" s="10">
        <f t="shared" si="12"/>
        <v>0</v>
      </c>
      <c r="C162" s="10">
        <f t="shared" si="13"/>
        <v>0</v>
      </c>
      <c r="D162" s="10">
        <f t="shared" si="14"/>
        <v>0</v>
      </c>
      <c r="E162" s="5">
        <f t="shared" si="15"/>
        <v>0</v>
      </c>
      <c r="F162" s="6"/>
      <c r="G162" s="6"/>
      <c r="H162" s="6"/>
      <c r="I162" s="6"/>
      <c r="J162" s="6"/>
    </row>
    <row r="163" spans="1:10">
      <c r="A163" s="16">
        <v>144</v>
      </c>
      <c r="B163" s="10">
        <f t="shared" si="12"/>
        <v>0</v>
      </c>
      <c r="C163" s="10">
        <f t="shared" si="13"/>
        <v>0</v>
      </c>
      <c r="D163" s="10">
        <f t="shared" si="14"/>
        <v>0</v>
      </c>
      <c r="E163" s="5">
        <f t="shared" si="15"/>
        <v>0</v>
      </c>
      <c r="F163" s="6"/>
      <c r="G163" s="6"/>
      <c r="H163" s="6"/>
      <c r="I163" s="6"/>
      <c r="J163" s="6"/>
    </row>
    <row r="164" spans="1:10">
      <c r="A164" s="16">
        <v>145</v>
      </c>
      <c r="B164" s="10">
        <f t="shared" si="12"/>
        <v>0</v>
      </c>
      <c r="C164" s="10">
        <f t="shared" si="13"/>
        <v>0</v>
      </c>
      <c r="D164" s="10">
        <f t="shared" si="14"/>
        <v>0</v>
      </c>
      <c r="E164" s="5">
        <f t="shared" si="15"/>
        <v>0</v>
      </c>
      <c r="F164" s="6"/>
      <c r="G164" s="6"/>
      <c r="H164" s="6"/>
      <c r="I164" s="6"/>
      <c r="J164" s="6"/>
    </row>
    <row r="165" spans="1:10">
      <c r="A165" s="16">
        <v>146</v>
      </c>
      <c r="B165" s="10">
        <f t="shared" si="12"/>
        <v>0</v>
      </c>
      <c r="C165" s="10">
        <f t="shared" si="13"/>
        <v>0</v>
      </c>
      <c r="D165" s="10">
        <f t="shared" si="14"/>
        <v>0</v>
      </c>
      <c r="E165" s="5">
        <f t="shared" si="15"/>
        <v>0</v>
      </c>
      <c r="F165" s="6"/>
      <c r="G165" s="6"/>
      <c r="H165" s="6"/>
      <c r="I165" s="6"/>
      <c r="J165" s="6"/>
    </row>
    <row r="166" spans="1:10">
      <c r="A166" s="16">
        <v>147</v>
      </c>
      <c r="B166" s="10">
        <f t="shared" si="12"/>
        <v>0</v>
      </c>
      <c r="C166" s="10">
        <f t="shared" si="13"/>
        <v>0</v>
      </c>
      <c r="D166" s="10">
        <f t="shared" si="14"/>
        <v>0</v>
      </c>
      <c r="E166" s="5">
        <f t="shared" si="15"/>
        <v>0</v>
      </c>
      <c r="F166" s="6"/>
      <c r="G166" s="6"/>
      <c r="H166" s="6"/>
      <c r="I166" s="6"/>
      <c r="J166" s="6"/>
    </row>
    <row r="167" spans="1:10">
      <c r="A167" s="16">
        <v>148</v>
      </c>
      <c r="B167" s="10">
        <f t="shared" si="12"/>
        <v>0</v>
      </c>
      <c r="C167" s="10">
        <f t="shared" si="13"/>
        <v>0</v>
      </c>
      <c r="D167" s="10">
        <f t="shared" si="14"/>
        <v>0</v>
      </c>
      <c r="E167" s="5">
        <f t="shared" si="15"/>
        <v>0</v>
      </c>
      <c r="F167" s="6"/>
      <c r="G167" s="6"/>
      <c r="H167" s="6"/>
      <c r="I167" s="6"/>
      <c r="J167" s="6"/>
    </row>
    <row r="168" spans="1:10">
      <c r="A168" s="16">
        <v>149</v>
      </c>
      <c r="B168" s="10">
        <f t="shared" si="12"/>
        <v>0</v>
      </c>
      <c r="C168" s="10">
        <f t="shared" si="13"/>
        <v>0</v>
      </c>
      <c r="D168" s="10">
        <f t="shared" si="14"/>
        <v>0</v>
      </c>
      <c r="E168" s="5">
        <f t="shared" si="15"/>
        <v>0</v>
      </c>
      <c r="F168" s="6"/>
      <c r="G168" s="6"/>
      <c r="H168" s="6"/>
      <c r="I168" s="6"/>
      <c r="J168" s="6"/>
    </row>
    <row r="169" spans="1:10">
      <c r="A169" s="16">
        <v>150</v>
      </c>
      <c r="B169" s="10">
        <f t="shared" si="12"/>
        <v>0</v>
      </c>
      <c r="C169" s="10">
        <f t="shared" si="13"/>
        <v>0</v>
      </c>
      <c r="D169" s="10">
        <f t="shared" si="14"/>
        <v>0</v>
      </c>
      <c r="E169" s="5">
        <f t="shared" si="15"/>
        <v>0</v>
      </c>
      <c r="F169" s="6"/>
      <c r="G169" s="6"/>
      <c r="H169" s="6"/>
      <c r="I169" s="6"/>
      <c r="J169" s="6"/>
    </row>
    <row r="170" spans="1:10">
      <c r="A170" s="16">
        <v>151</v>
      </c>
      <c r="B170" s="10">
        <f t="shared" si="12"/>
        <v>0</v>
      </c>
      <c r="C170" s="10">
        <f t="shared" si="13"/>
        <v>0</v>
      </c>
      <c r="D170" s="10">
        <f t="shared" si="14"/>
        <v>0</v>
      </c>
      <c r="E170" s="5">
        <f t="shared" si="15"/>
        <v>0</v>
      </c>
      <c r="F170" s="6"/>
      <c r="G170" s="6"/>
      <c r="H170" s="6"/>
      <c r="I170" s="6"/>
      <c r="J170" s="6"/>
    </row>
    <row r="171" spans="1:10">
      <c r="A171" s="16">
        <v>152</v>
      </c>
      <c r="B171" s="10">
        <f t="shared" si="12"/>
        <v>0</v>
      </c>
      <c r="C171" s="10">
        <f t="shared" si="13"/>
        <v>0</v>
      </c>
      <c r="D171" s="10">
        <f t="shared" si="14"/>
        <v>0</v>
      </c>
      <c r="E171" s="5">
        <f t="shared" si="15"/>
        <v>0</v>
      </c>
      <c r="F171" s="6"/>
      <c r="G171" s="6"/>
      <c r="H171" s="6"/>
      <c r="I171" s="6"/>
      <c r="J171" s="6"/>
    </row>
    <row r="172" spans="1:10">
      <c r="A172" s="16">
        <v>153</v>
      </c>
      <c r="B172" s="10">
        <f t="shared" si="12"/>
        <v>0</v>
      </c>
      <c r="C172" s="10">
        <f t="shared" si="13"/>
        <v>0</v>
      </c>
      <c r="D172" s="10">
        <f t="shared" si="14"/>
        <v>0</v>
      </c>
      <c r="E172" s="5">
        <f t="shared" si="15"/>
        <v>0</v>
      </c>
      <c r="F172" s="6"/>
      <c r="G172" s="6"/>
      <c r="H172" s="6"/>
      <c r="I172" s="6"/>
      <c r="J172" s="6"/>
    </row>
    <row r="173" spans="1:10">
      <c r="A173" s="16">
        <v>154</v>
      </c>
      <c r="B173" s="10">
        <f t="shared" si="12"/>
        <v>0</v>
      </c>
      <c r="C173" s="10">
        <f t="shared" si="13"/>
        <v>0</v>
      </c>
      <c r="D173" s="10">
        <f t="shared" si="14"/>
        <v>0</v>
      </c>
      <c r="E173" s="5">
        <f t="shared" si="15"/>
        <v>0</v>
      </c>
      <c r="F173" s="6"/>
      <c r="G173" s="6"/>
      <c r="H173" s="6"/>
      <c r="I173" s="6"/>
      <c r="J173" s="6"/>
    </row>
    <row r="174" spans="1:10">
      <c r="A174" s="16">
        <v>155</v>
      </c>
      <c r="B174" s="10">
        <f t="shared" si="12"/>
        <v>0</v>
      </c>
      <c r="C174" s="10">
        <f t="shared" si="13"/>
        <v>0</v>
      </c>
      <c r="D174" s="10">
        <f t="shared" si="14"/>
        <v>0</v>
      </c>
      <c r="E174" s="5">
        <f t="shared" si="15"/>
        <v>0</v>
      </c>
      <c r="F174" s="6"/>
      <c r="G174" s="6"/>
      <c r="H174" s="6"/>
      <c r="I174" s="6"/>
      <c r="J174" s="6"/>
    </row>
    <row r="175" spans="1:10">
      <c r="A175" s="16">
        <v>156</v>
      </c>
      <c r="B175" s="10">
        <f t="shared" si="12"/>
        <v>0</v>
      </c>
      <c r="C175" s="10">
        <f t="shared" si="13"/>
        <v>0</v>
      </c>
      <c r="D175" s="10">
        <f t="shared" si="14"/>
        <v>0</v>
      </c>
      <c r="E175" s="5">
        <f t="shared" si="15"/>
        <v>0</v>
      </c>
      <c r="F175" s="6"/>
      <c r="G175" s="6"/>
      <c r="H175" s="6"/>
      <c r="I175" s="6"/>
      <c r="J175" s="6"/>
    </row>
    <row r="176" spans="1:10">
      <c r="A176" s="16">
        <v>157</v>
      </c>
      <c r="B176" s="10">
        <f t="shared" si="12"/>
        <v>0</v>
      </c>
      <c r="C176" s="10">
        <f t="shared" si="13"/>
        <v>0</v>
      </c>
      <c r="D176" s="10">
        <f t="shared" si="14"/>
        <v>0</v>
      </c>
      <c r="E176" s="5">
        <f t="shared" si="15"/>
        <v>0</v>
      </c>
      <c r="F176" s="6"/>
      <c r="G176" s="6"/>
      <c r="H176" s="6"/>
      <c r="I176" s="6"/>
      <c r="J176" s="6"/>
    </row>
    <row r="177" spans="1:10">
      <c r="A177" s="16">
        <v>158</v>
      </c>
      <c r="B177" s="10">
        <f t="shared" si="12"/>
        <v>0</v>
      </c>
      <c r="C177" s="10">
        <f t="shared" si="13"/>
        <v>0</v>
      </c>
      <c r="D177" s="10">
        <f t="shared" si="14"/>
        <v>0</v>
      </c>
      <c r="E177" s="5">
        <f t="shared" si="15"/>
        <v>0</v>
      </c>
      <c r="F177" s="6"/>
      <c r="G177" s="6"/>
      <c r="H177" s="6"/>
      <c r="I177" s="6"/>
      <c r="J177" s="6"/>
    </row>
    <row r="178" spans="1:10">
      <c r="A178" s="16">
        <v>159</v>
      </c>
      <c r="B178" s="10">
        <f t="shared" si="12"/>
        <v>0</v>
      </c>
      <c r="C178" s="10">
        <f t="shared" si="13"/>
        <v>0</v>
      </c>
      <c r="D178" s="10">
        <f t="shared" si="14"/>
        <v>0</v>
      </c>
      <c r="E178" s="5">
        <f t="shared" si="15"/>
        <v>0</v>
      </c>
      <c r="F178" s="6"/>
      <c r="G178" s="6"/>
      <c r="H178" s="6"/>
      <c r="I178" s="6"/>
      <c r="J178" s="6"/>
    </row>
    <row r="179" spans="1:10">
      <c r="A179" s="16">
        <v>160</v>
      </c>
      <c r="B179" s="10">
        <f t="shared" si="12"/>
        <v>0</v>
      </c>
      <c r="C179" s="10">
        <f t="shared" si="13"/>
        <v>0</v>
      </c>
      <c r="D179" s="10">
        <f t="shared" si="14"/>
        <v>0</v>
      </c>
      <c r="E179" s="5">
        <f t="shared" si="15"/>
        <v>0</v>
      </c>
      <c r="F179" s="6"/>
      <c r="G179" s="6"/>
      <c r="H179" s="6"/>
      <c r="I179" s="6"/>
      <c r="J179" s="6"/>
    </row>
    <row r="180" spans="1:10">
      <c r="A180" s="16">
        <v>161</v>
      </c>
      <c r="B180" s="10">
        <f t="shared" si="12"/>
        <v>0</v>
      </c>
      <c r="C180" s="10">
        <f t="shared" si="13"/>
        <v>0</v>
      </c>
      <c r="D180" s="10">
        <f t="shared" si="14"/>
        <v>0</v>
      </c>
      <c r="E180" s="5">
        <f t="shared" si="15"/>
        <v>0</v>
      </c>
      <c r="F180" s="6"/>
      <c r="G180" s="6"/>
      <c r="H180" s="6"/>
      <c r="I180" s="6"/>
      <c r="J180" s="6"/>
    </row>
    <row r="181" spans="1:10">
      <c r="A181" s="16">
        <v>162</v>
      </c>
      <c r="B181" s="10">
        <f t="shared" si="12"/>
        <v>0</v>
      </c>
      <c r="C181" s="10">
        <f t="shared" si="13"/>
        <v>0</v>
      </c>
      <c r="D181" s="10">
        <f t="shared" si="14"/>
        <v>0</v>
      </c>
      <c r="E181" s="5">
        <f t="shared" si="15"/>
        <v>0</v>
      </c>
      <c r="F181" s="6"/>
      <c r="G181" s="6"/>
      <c r="H181" s="6"/>
      <c r="I181" s="6"/>
      <c r="J181" s="6"/>
    </row>
    <row r="182" spans="1:10">
      <c r="A182" s="16">
        <v>163</v>
      </c>
      <c r="B182" s="10">
        <f t="shared" si="12"/>
        <v>0</v>
      </c>
      <c r="C182" s="10">
        <f t="shared" si="13"/>
        <v>0</v>
      </c>
      <c r="D182" s="10">
        <f t="shared" si="14"/>
        <v>0</v>
      </c>
      <c r="E182" s="5">
        <f t="shared" si="15"/>
        <v>0</v>
      </c>
      <c r="F182" s="6"/>
      <c r="G182" s="6"/>
      <c r="H182" s="6"/>
      <c r="I182" s="6"/>
      <c r="J182" s="6"/>
    </row>
    <row r="183" spans="1:10">
      <c r="A183" s="16">
        <v>164</v>
      </c>
      <c r="B183" s="10">
        <f t="shared" si="12"/>
        <v>0</v>
      </c>
      <c r="C183" s="10">
        <f t="shared" si="13"/>
        <v>0</v>
      </c>
      <c r="D183" s="10">
        <f t="shared" si="14"/>
        <v>0</v>
      </c>
      <c r="E183" s="5">
        <f t="shared" si="15"/>
        <v>0</v>
      </c>
      <c r="F183" s="6"/>
      <c r="G183" s="6"/>
      <c r="H183" s="6"/>
      <c r="I183" s="6"/>
      <c r="J183" s="6"/>
    </row>
    <row r="184" spans="1:10">
      <c r="A184" s="16">
        <v>165</v>
      </c>
      <c r="B184" s="10">
        <f t="shared" si="12"/>
        <v>0</v>
      </c>
      <c r="C184" s="10">
        <f t="shared" si="13"/>
        <v>0</v>
      </c>
      <c r="D184" s="10">
        <f t="shared" si="14"/>
        <v>0</v>
      </c>
      <c r="E184" s="5">
        <f t="shared" si="15"/>
        <v>0</v>
      </c>
      <c r="F184" s="6"/>
      <c r="G184" s="6"/>
      <c r="H184" s="6"/>
      <c r="I184" s="6"/>
      <c r="J184" s="6"/>
    </row>
    <row r="185" spans="1:10">
      <c r="A185" s="16">
        <v>166</v>
      </c>
      <c r="B185" s="10">
        <f t="shared" si="12"/>
        <v>0</v>
      </c>
      <c r="C185" s="10">
        <f t="shared" si="13"/>
        <v>0</v>
      </c>
      <c r="D185" s="10">
        <f t="shared" si="14"/>
        <v>0</v>
      </c>
      <c r="E185" s="5">
        <f t="shared" si="15"/>
        <v>0</v>
      </c>
      <c r="F185" s="6"/>
      <c r="G185" s="6"/>
      <c r="H185" s="6"/>
      <c r="I185" s="6"/>
      <c r="J185" s="6"/>
    </row>
    <row r="186" spans="1:10">
      <c r="A186" s="16">
        <v>167</v>
      </c>
      <c r="B186" s="10">
        <f t="shared" si="12"/>
        <v>0</v>
      </c>
      <c r="C186" s="10">
        <f t="shared" si="13"/>
        <v>0</v>
      </c>
      <c r="D186" s="10">
        <f t="shared" si="14"/>
        <v>0</v>
      </c>
      <c r="E186" s="5">
        <f t="shared" si="15"/>
        <v>0</v>
      </c>
      <c r="F186" s="6"/>
      <c r="G186" s="6"/>
      <c r="H186" s="6"/>
      <c r="I186" s="6"/>
      <c r="J186" s="6"/>
    </row>
    <row r="187" spans="1:10">
      <c r="A187" s="16">
        <v>168</v>
      </c>
      <c r="B187" s="10">
        <f t="shared" si="12"/>
        <v>0</v>
      </c>
      <c r="C187" s="10">
        <f t="shared" si="13"/>
        <v>0</v>
      </c>
      <c r="D187" s="10">
        <f t="shared" si="14"/>
        <v>0</v>
      </c>
      <c r="E187" s="5">
        <f t="shared" si="15"/>
        <v>0</v>
      </c>
      <c r="F187" s="6"/>
      <c r="G187" s="6"/>
      <c r="H187" s="6"/>
      <c r="I187" s="6"/>
      <c r="J187" s="6"/>
    </row>
    <row r="188" spans="1:10">
      <c r="A188" s="16">
        <v>169</v>
      </c>
      <c r="B188" s="10">
        <f t="shared" si="12"/>
        <v>0</v>
      </c>
      <c r="C188" s="10">
        <f t="shared" si="13"/>
        <v>0</v>
      </c>
      <c r="D188" s="10">
        <f t="shared" si="14"/>
        <v>0</v>
      </c>
      <c r="E188" s="5">
        <f t="shared" si="15"/>
        <v>0</v>
      </c>
      <c r="F188" s="6"/>
      <c r="G188" s="6"/>
      <c r="H188" s="6"/>
      <c r="I188" s="6"/>
      <c r="J188" s="6"/>
    </row>
    <row r="189" spans="1:10">
      <c r="A189" s="16">
        <v>170</v>
      </c>
      <c r="B189" s="10">
        <f t="shared" si="12"/>
        <v>0</v>
      </c>
      <c r="C189" s="10">
        <f t="shared" si="13"/>
        <v>0</v>
      </c>
      <c r="D189" s="10">
        <f t="shared" si="14"/>
        <v>0</v>
      </c>
      <c r="E189" s="5">
        <f t="shared" si="15"/>
        <v>0</v>
      </c>
      <c r="F189" s="6"/>
      <c r="G189" s="6"/>
      <c r="H189" s="6"/>
      <c r="I189" s="6"/>
      <c r="J189" s="6"/>
    </row>
    <row r="190" spans="1:10">
      <c r="A190" s="16">
        <v>171</v>
      </c>
      <c r="B190" s="10">
        <f t="shared" si="12"/>
        <v>0</v>
      </c>
      <c r="C190" s="10">
        <f t="shared" si="13"/>
        <v>0</v>
      </c>
      <c r="D190" s="10">
        <f t="shared" si="14"/>
        <v>0</v>
      </c>
      <c r="E190" s="5">
        <f t="shared" si="15"/>
        <v>0</v>
      </c>
      <c r="F190" s="6"/>
      <c r="G190" s="6"/>
      <c r="H190" s="6"/>
      <c r="I190" s="6"/>
      <c r="J190" s="6"/>
    </row>
    <row r="191" spans="1:10">
      <c r="A191" s="16">
        <v>172</v>
      </c>
      <c r="B191" s="10">
        <f t="shared" si="12"/>
        <v>0</v>
      </c>
      <c r="C191" s="10">
        <f t="shared" si="13"/>
        <v>0</v>
      </c>
      <c r="D191" s="10">
        <f t="shared" si="14"/>
        <v>0</v>
      </c>
      <c r="E191" s="5">
        <f t="shared" si="15"/>
        <v>0</v>
      </c>
      <c r="F191" s="6"/>
      <c r="G191" s="6"/>
      <c r="H191" s="6"/>
      <c r="I191" s="6"/>
      <c r="J191" s="6"/>
    </row>
    <row r="192" spans="1:10">
      <c r="A192" s="16">
        <v>173</v>
      </c>
      <c r="B192" s="10">
        <f t="shared" si="12"/>
        <v>0</v>
      </c>
      <c r="C192" s="10">
        <f t="shared" si="13"/>
        <v>0</v>
      </c>
      <c r="D192" s="10">
        <f t="shared" si="14"/>
        <v>0</v>
      </c>
      <c r="E192" s="5">
        <f t="shared" si="15"/>
        <v>0</v>
      </c>
      <c r="F192" s="6"/>
      <c r="G192" s="6"/>
      <c r="H192" s="6"/>
      <c r="I192" s="6"/>
      <c r="J192" s="6"/>
    </row>
    <row r="193" spans="1:10">
      <c r="A193" s="16">
        <v>174</v>
      </c>
      <c r="B193" s="10">
        <f t="shared" si="12"/>
        <v>0</v>
      </c>
      <c r="C193" s="10">
        <f t="shared" si="13"/>
        <v>0</v>
      </c>
      <c r="D193" s="10">
        <f t="shared" si="14"/>
        <v>0</v>
      </c>
      <c r="E193" s="5">
        <f t="shared" si="15"/>
        <v>0</v>
      </c>
      <c r="F193" s="6"/>
      <c r="G193" s="6"/>
      <c r="H193" s="6"/>
      <c r="I193" s="6"/>
      <c r="J193" s="6"/>
    </row>
    <row r="194" spans="1:10">
      <c r="A194" s="16">
        <v>175</v>
      </c>
      <c r="B194" s="10">
        <f t="shared" si="12"/>
        <v>0</v>
      </c>
      <c r="C194" s="10">
        <f t="shared" si="13"/>
        <v>0</v>
      </c>
      <c r="D194" s="10">
        <f t="shared" si="14"/>
        <v>0</v>
      </c>
      <c r="E194" s="5">
        <f t="shared" si="15"/>
        <v>0</v>
      </c>
      <c r="F194" s="6"/>
      <c r="G194" s="6"/>
      <c r="H194" s="6"/>
      <c r="I194" s="6"/>
      <c r="J194" s="6"/>
    </row>
    <row r="195" spans="1:10">
      <c r="A195" s="16">
        <v>176</v>
      </c>
      <c r="B195" s="10">
        <f t="shared" si="12"/>
        <v>0</v>
      </c>
      <c r="C195" s="10">
        <f t="shared" si="13"/>
        <v>0</v>
      </c>
      <c r="D195" s="10">
        <f t="shared" si="14"/>
        <v>0</v>
      </c>
      <c r="E195" s="5">
        <f t="shared" si="15"/>
        <v>0</v>
      </c>
      <c r="F195" s="6"/>
      <c r="G195" s="6"/>
      <c r="H195" s="6"/>
      <c r="I195" s="6"/>
      <c r="J195" s="6"/>
    </row>
    <row r="196" spans="1:10">
      <c r="A196" s="16">
        <v>177</v>
      </c>
      <c r="B196" s="10">
        <f t="shared" si="12"/>
        <v>0</v>
      </c>
      <c r="C196" s="10">
        <f t="shared" si="13"/>
        <v>0</v>
      </c>
      <c r="D196" s="10">
        <f t="shared" si="14"/>
        <v>0</v>
      </c>
      <c r="E196" s="5">
        <f t="shared" si="15"/>
        <v>0</v>
      </c>
      <c r="F196" s="6"/>
      <c r="G196" s="6"/>
      <c r="H196" s="6"/>
      <c r="I196" s="6"/>
      <c r="J196" s="6"/>
    </row>
    <row r="197" spans="1:10">
      <c r="A197" s="16">
        <v>178</v>
      </c>
      <c r="B197" s="10">
        <f t="shared" si="12"/>
        <v>0</v>
      </c>
      <c r="C197" s="10">
        <f t="shared" si="13"/>
        <v>0</v>
      </c>
      <c r="D197" s="10">
        <f t="shared" si="14"/>
        <v>0</v>
      </c>
      <c r="E197" s="5">
        <f t="shared" si="15"/>
        <v>0</v>
      </c>
      <c r="F197" s="6"/>
      <c r="G197" s="6"/>
      <c r="H197" s="6"/>
      <c r="I197" s="6"/>
      <c r="J197" s="6"/>
    </row>
    <row r="198" spans="1:10">
      <c r="A198" s="16">
        <v>179</v>
      </c>
      <c r="B198" s="10">
        <f t="shared" si="12"/>
        <v>0</v>
      </c>
      <c r="C198" s="10">
        <f t="shared" si="13"/>
        <v>0</v>
      </c>
      <c r="D198" s="10">
        <f t="shared" si="14"/>
        <v>0</v>
      </c>
      <c r="E198" s="5">
        <f t="shared" si="15"/>
        <v>0</v>
      </c>
      <c r="F198" s="6"/>
      <c r="G198" s="6"/>
      <c r="H198" s="6"/>
      <c r="I198" s="6"/>
      <c r="J198" s="6"/>
    </row>
    <row r="199" spans="1:10">
      <c r="A199" s="16">
        <v>180</v>
      </c>
      <c r="B199" s="10">
        <f t="shared" si="12"/>
        <v>0</v>
      </c>
      <c r="C199" s="10">
        <f t="shared" si="13"/>
        <v>0</v>
      </c>
      <c r="D199" s="10">
        <f t="shared" si="14"/>
        <v>0</v>
      </c>
      <c r="E199" s="5">
        <f t="shared" si="15"/>
        <v>0</v>
      </c>
      <c r="F199" s="6"/>
      <c r="G199" s="6"/>
      <c r="H199" s="6"/>
      <c r="I199" s="6"/>
      <c r="J199" s="6"/>
    </row>
    <row r="200" spans="1:10">
      <c r="A200" s="16">
        <v>181</v>
      </c>
      <c r="B200" s="10">
        <f t="shared" si="12"/>
        <v>0</v>
      </c>
      <c r="C200" s="10">
        <f t="shared" si="13"/>
        <v>0</v>
      </c>
      <c r="D200" s="10">
        <f t="shared" si="14"/>
        <v>0</v>
      </c>
      <c r="E200" s="5">
        <f t="shared" si="15"/>
        <v>0</v>
      </c>
      <c r="F200" s="6"/>
      <c r="G200" s="6"/>
      <c r="H200" s="6"/>
      <c r="I200" s="6"/>
      <c r="J200" s="6"/>
    </row>
    <row r="201" spans="1:10">
      <c r="A201" s="16">
        <v>182</v>
      </c>
      <c r="B201" s="10">
        <f t="shared" si="12"/>
        <v>0</v>
      </c>
      <c r="C201" s="10">
        <f t="shared" si="13"/>
        <v>0</v>
      </c>
      <c r="D201" s="10">
        <f t="shared" si="14"/>
        <v>0</v>
      </c>
      <c r="E201" s="5">
        <f t="shared" si="15"/>
        <v>0</v>
      </c>
      <c r="F201" s="6"/>
      <c r="G201" s="6"/>
      <c r="H201" s="6"/>
      <c r="I201" s="6"/>
      <c r="J201" s="6"/>
    </row>
    <row r="202" spans="1:10">
      <c r="A202" s="16">
        <v>183</v>
      </c>
      <c r="B202" s="10">
        <f t="shared" si="12"/>
        <v>0</v>
      </c>
      <c r="C202" s="10">
        <f t="shared" si="13"/>
        <v>0</v>
      </c>
      <c r="D202" s="10">
        <f t="shared" si="14"/>
        <v>0</v>
      </c>
      <c r="E202" s="5">
        <f t="shared" si="15"/>
        <v>0</v>
      </c>
      <c r="F202" s="6"/>
      <c r="G202" s="6"/>
      <c r="H202" s="6"/>
      <c r="I202" s="6"/>
      <c r="J202" s="6"/>
    </row>
    <row r="203" spans="1:10">
      <c r="A203" s="16">
        <v>184</v>
      </c>
      <c r="B203" s="10">
        <f t="shared" si="12"/>
        <v>0</v>
      </c>
      <c r="C203" s="10">
        <f t="shared" si="13"/>
        <v>0</v>
      </c>
      <c r="D203" s="10">
        <f t="shared" si="14"/>
        <v>0</v>
      </c>
      <c r="E203" s="5">
        <f t="shared" si="15"/>
        <v>0</v>
      </c>
      <c r="F203" s="6"/>
      <c r="G203" s="6"/>
      <c r="H203" s="6"/>
      <c r="I203" s="6"/>
      <c r="J203" s="6"/>
    </row>
    <row r="204" spans="1:10">
      <c r="A204" s="16">
        <v>185</v>
      </c>
      <c r="B204" s="10">
        <f t="shared" si="12"/>
        <v>0</v>
      </c>
      <c r="C204" s="10">
        <f t="shared" si="13"/>
        <v>0</v>
      </c>
      <c r="D204" s="10">
        <f t="shared" si="14"/>
        <v>0</v>
      </c>
      <c r="E204" s="5">
        <f t="shared" si="15"/>
        <v>0</v>
      </c>
      <c r="F204" s="6"/>
      <c r="G204" s="6"/>
      <c r="H204" s="6"/>
      <c r="I204" s="6"/>
      <c r="J204" s="6"/>
    </row>
    <row r="205" spans="1:10">
      <c r="A205" s="16">
        <v>186</v>
      </c>
      <c r="B205" s="10">
        <f t="shared" si="12"/>
        <v>0</v>
      </c>
      <c r="C205" s="10">
        <f t="shared" si="13"/>
        <v>0</v>
      </c>
      <c r="D205" s="10">
        <f t="shared" si="14"/>
        <v>0</v>
      </c>
      <c r="E205" s="5">
        <f t="shared" si="15"/>
        <v>0</v>
      </c>
      <c r="F205" s="6"/>
      <c r="G205" s="6"/>
      <c r="H205" s="6"/>
      <c r="I205" s="6"/>
      <c r="J205" s="6"/>
    </row>
    <row r="206" spans="1:10">
      <c r="A206" s="16">
        <v>187</v>
      </c>
      <c r="B206" s="10">
        <f t="shared" si="12"/>
        <v>0</v>
      </c>
      <c r="C206" s="10">
        <f t="shared" si="13"/>
        <v>0</v>
      </c>
      <c r="D206" s="10">
        <f t="shared" si="14"/>
        <v>0</v>
      </c>
      <c r="E206" s="5">
        <f t="shared" si="15"/>
        <v>0</v>
      </c>
      <c r="F206" s="6"/>
      <c r="G206" s="6"/>
      <c r="H206" s="6"/>
      <c r="I206" s="6"/>
      <c r="J206" s="6"/>
    </row>
    <row r="207" spans="1:10">
      <c r="A207" s="16">
        <v>188</v>
      </c>
      <c r="B207" s="10">
        <f t="shared" si="12"/>
        <v>0</v>
      </c>
      <c r="C207" s="10">
        <f t="shared" si="13"/>
        <v>0</v>
      </c>
      <c r="D207" s="10">
        <f t="shared" si="14"/>
        <v>0</v>
      </c>
      <c r="E207" s="5">
        <f t="shared" si="15"/>
        <v>0</v>
      </c>
      <c r="F207" s="6"/>
      <c r="G207" s="6"/>
      <c r="H207" s="6"/>
      <c r="I207" s="6"/>
      <c r="J207" s="6"/>
    </row>
    <row r="208" spans="1:10">
      <c r="A208" s="16">
        <v>189</v>
      </c>
      <c r="B208" s="10">
        <f t="shared" si="12"/>
        <v>0</v>
      </c>
      <c r="C208" s="10">
        <f t="shared" si="13"/>
        <v>0</v>
      </c>
      <c r="D208" s="10">
        <f t="shared" si="14"/>
        <v>0</v>
      </c>
      <c r="E208" s="5">
        <f t="shared" si="15"/>
        <v>0</v>
      </c>
      <c r="F208" s="6"/>
      <c r="G208" s="6"/>
      <c r="H208" s="6"/>
      <c r="I208" s="6"/>
      <c r="J208" s="6"/>
    </row>
    <row r="209" spans="1:10">
      <c r="A209" s="16">
        <v>190</v>
      </c>
      <c r="B209" s="10">
        <f t="shared" si="12"/>
        <v>0</v>
      </c>
      <c r="C209" s="10">
        <f t="shared" si="13"/>
        <v>0</v>
      </c>
      <c r="D209" s="10">
        <f t="shared" si="14"/>
        <v>0</v>
      </c>
      <c r="E209" s="5">
        <f t="shared" si="15"/>
        <v>0</v>
      </c>
      <c r="F209" s="6"/>
      <c r="G209" s="6"/>
      <c r="H209" s="6"/>
      <c r="I209" s="6"/>
      <c r="J209" s="6"/>
    </row>
    <row r="210" spans="1:10">
      <c r="A210" s="16">
        <v>191</v>
      </c>
      <c r="B210" s="10">
        <f t="shared" si="12"/>
        <v>0</v>
      </c>
      <c r="C210" s="10">
        <f t="shared" si="13"/>
        <v>0</v>
      </c>
      <c r="D210" s="10">
        <f t="shared" si="14"/>
        <v>0</v>
      </c>
      <c r="E210" s="5">
        <f t="shared" si="15"/>
        <v>0</v>
      </c>
      <c r="F210" s="6"/>
      <c r="G210" s="6"/>
      <c r="H210" s="6"/>
      <c r="I210" s="6"/>
      <c r="J210" s="6"/>
    </row>
    <row r="211" spans="1:10">
      <c r="A211" s="16">
        <v>192</v>
      </c>
      <c r="B211" s="10">
        <f t="shared" si="12"/>
        <v>0</v>
      </c>
      <c r="C211" s="10">
        <f t="shared" si="13"/>
        <v>0</v>
      </c>
      <c r="D211" s="10">
        <f t="shared" si="14"/>
        <v>0</v>
      </c>
      <c r="E211" s="5">
        <f t="shared" si="15"/>
        <v>0</v>
      </c>
      <c r="F211" s="6"/>
      <c r="G211" s="6"/>
      <c r="H211" s="6"/>
      <c r="I211" s="6"/>
      <c r="J211" s="6"/>
    </row>
    <row r="212" spans="1:10">
      <c r="A212" s="16">
        <v>193</v>
      </c>
      <c r="B212" s="10">
        <f t="shared" ref="B212:B275" si="16">IF(A212&lt;=$D$5*12,B211-D212,0)</f>
        <v>0</v>
      </c>
      <c r="C212" s="10">
        <f t="shared" ref="C212:C275" si="17">IF(A212&lt;=$D$5*12,B211*$D$6/12,0)</f>
        <v>0</v>
      </c>
      <c r="D212" s="10">
        <f t="shared" si="14"/>
        <v>0</v>
      </c>
      <c r="E212" s="5">
        <f t="shared" si="15"/>
        <v>0</v>
      </c>
      <c r="F212" s="6"/>
      <c r="G212" s="6"/>
      <c r="H212" s="6"/>
      <c r="I212" s="6"/>
      <c r="J212" s="6"/>
    </row>
    <row r="213" spans="1:10">
      <c r="A213" s="16">
        <v>194</v>
      </c>
      <c r="B213" s="10">
        <f t="shared" si="16"/>
        <v>0</v>
      </c>
      <c r="C213" s="10">
        <f t="shared" si="17"/>
        <v>0</v>
      </c>
      <c r="D213" s="10">
        <f t="shared" ref="D213:D276" si="18">IF($D$3="Annuitätendarlehen",IF(A213&lt;=$D$5*12,E213-C213,0),IF($D$3="Ratendarlehen",IF(AND(A213&lt;=$D$5*12,A213&gt;$D$7),$D$4/($D$5*12-$D$7),0),IF($D$3="Restwertdarlehen",IF(A213=$D$5*12,$D$4,0),0)))</f>
        <v>0</v>
      </c>
      <c r="E213" s="5">
        <f t="shared" ref="E213:E276" si="19">IF($D$3="Annuitätendarlehen",IF(AND(A213&lt;=$D$5*12,A213&gt;$D$7),PMT($D$6/12,$D$5*12-$D$7,-$D$4,$D$8,0),IF(A213&lt;=$D$7,C213,0)),IF($D$3="Ratendarlehen",IF(AND(A213&lt;=$D$5*12,A213&gt;$D$7),$D$4/($D$5*12-$D$7)+C213,IF(A213&lt;=$D$7,C213,0)),IF(AND($D$3="Restwertdarlehen",A213&lt;=$D$5*12),C213+D213,0)))</f>
        <v>0</v>
      </c>
      <c r="F213" s="6"/>
      <c r="G213" s="6"/>
      <c r="H213" s="6"/>
      <c r="I213" s="6"/>
      <c r="J213" s="6"/>
    </row>
    <row r="214" spans="1:10">
      <c r="A214" s="16">
        <v>195</v>
      </c>
      <c r="B214" s="10">
        <f t="shared" si="16"/>
        <v>0</v>
      </c>
      <c r="C214" s="10">
        <f t="shared" si="17"/>
        <v>0</v>
      </c>
      <c r="D214" s="10">
        <f t="shared" si="18"/>
        <v>0</v>
      </c>
      <c r="E214" s="5">
        <f t="shared" si="19"/>
        <v>0</v>
      </c>
      <c r="F214" s="6"/>
      <c r="G214" s="6"/>
      <c r="H214" s="6"/>
      <c r="I214" s="6"/>
      <c r="J214" s="6"/>
    </row>
    <row r="215" spans="1:10">
      <c r="A215" s="16">
        <v>196</v>
      </c>
      <c r="B215" s="10">
        <f t="shared" si="16"/>
        <v>0</v>
      </c>
      <c r="C215" s="10">
        <f t="shared" si="17"/>
        <v>0</v>
      </c>
      <c r="D215" s="10">
        <f t="shared" si="18"/>
        <v>0</v>
      </c>
      <c r="E215" s="5">
        <f t="shared" si="19"/>
        <v>0</v>
      </c>
      <c r="F215" s="6"/>
      <c r="G215" s="6"/>
      <c r="H215" s="6"/>
      <c r="I215" s="6"/>
      <c r="J215" s="6"/>
    </row>
    <row r="216" spans="1:10">
      <c r="A216" s="16">
        <v>197</v>
      </c>
      <c r="B216" s="10">
        <f t="shared" si="16"/>
        <v>0</v>
      </c>
      <c r="C216" s="10">
        <f t="shared" si="17"/>
        <v>0</v>
      </c>
      <c r="D216" s="10">
        <f t="shared" si="18"/>
        <v>0</v>
      </c>
      <c r="E216" s="5">
        <f t="shared" si="19"/>
        <v>0</v>
      </c>
      <c r="F216" s="6"/>
      <c r="G216" s="6"/>
      <c r="H216" s="6"/>
      <c r="I216" s="6"/>
      <c r="J216" s="6"/>
    </row>
    <row r="217" spans="1:10">
      <c r="A217" s="16">
        <v>198</v>
      </c>
      <c r="B217" s="10">
        <f t="shared" si="16"/>
        <v>0</v>
      </c>
      <c r="C217" s="10">
        <f t="shared" si="17"/>
        <v>0</v>
      </c>
      <c r="D217" s="10">
        <f t="shared" si="18"/>
        <v>0</v>
      </c>
      <c r="E217" s="5">
        <f t="shared" si="19"/>
        <v>0</v>
      </c>
      <c r="F217" s="6"/>
      <c r="G217" s="6"/>
      <c r="H217" s="6"/>
      <c r="I217" s="6"/>
      <c r="J217" s="6"/>
    </row>
    <row r="218" spans="1:10">
      <c r="A218" s="16">
        <v>199</v>
      </c>
      <c r="B218" s="10">
        <f t="shared" si="16"/>
        <v>0</v>
      </c>
      <c r="C218" s="10">
        <f t="shared" si="17"/>
        <v>0</v>
      </c>
      <c r="D218" s="10">
        <f t="shared" si="18"/>
        <v>0</v>
      </c>
      <c r="E218" s="5">
        <f t="shared" si="19"/>
        <v>0</v>
      </c>
      <c r="F218" s="6"/>
      <c r="G218" s="6"/>
      <c r="H218" s="6"/>
      <c r="I218" s="6"/>
      <c r="J218" s="6"/>
    </row>
    <row r="219" spans="1:10">
      <c r="A219" s="16">
        <v>200</v>
      </c>
      <c r="B219" s="10">
        <f t="shared" si="16"/>
        <v>0</v>
      </c>
      <c r="C219" s="10">
        <f t="shared" si="17"/>
        <v>0</v>
      </c>
      <c r="D219" s="10">
        <f t="shared" si="18"/>
        <v>0</v>
      </c>
      <c r="E219" s="5">
        <f t="shared" si="19"/>
        <v>0</v>
      </c>
      <c r="F219" s="6"/>
      <c r="G219" s="6"/>
      <c r="H219" s="6"/>
      <c r="I219" s="6"/>
      <c r="J219" s="6"/>
    </row>
    <row r="220" spans="1:10">
      <c r="A220" s="16">
        <v>201</v>
      </c>
      <c r="B220" s="10">
        <f t="shared" si="16"/>
        <v>0</v>
      </c>
      <c r="C220" s="10">
        <f t="shared" si="17"/>
        <v>0</v>
      </c>
      <c r="D220" s="10">
        <f t="shared" si="18"/>
        <v>0</v>
      </c>
      <c r="E220" s="5">
        <f t="shared" si="19"/>
        <v>0</v>
      </c>
      <c r="F220" s="6"/>
      <c r="G220" s="6"/>
      <c r="H220" s="6"/>
      <c r="I220" s="6"/>
      <c r="J220" s="6"/>
    </row>
    <row r="221" spans="1:10">
      <c r="A221" s="16">
        <v>202</v>
      </c>
      <c r="B221" s="10">
        <f t="shared" si="16"/>
        <v>0</v>
      </c>
      <c r="C221" s="10">
        <f t="shared" si="17"/>
        <v>0</v>
      </c>
      <c r="D221" s="10">
        <f t="shared" si="18"/>
        <v>0</v>
      </c>
      <c r="E221" s="5">
        <f t="shared" si="19"/>
        <v>0</v>
      </c>
      <c r="F221" s="6"/>
      <c r="G221" s="6"/>
      <c r="H221" s="6"/>
      <c r="I221" s="6"/>
      <c r="J221" s="6"/>
    </row>
    <row r="222" spans="1:10">
      <c r="A222" s="16">
        <v>203</v>
      </c>
      <c r="B222" s="10">
        <f t="shared" si="16"/>
        <v>0</v>
      </c>
      <c r="C222" s="10">
        <f t="shared" si="17"/>
        <v>0</v>
      </c>
      <c r="D222" s="10">
        <f t="shared" si="18"/>
        <v>0</v>
      </c>
      <c r="E222" s="5">
        <f t="shared" si="19"/>
        <v>0</v>
      </c>
      <c r="F222" s="6"/>
      <c r="G222" s="6"/>
      <c r="H222" s="6"/>
      <c r="I222" s="6"/>
      <c r="J222" s="6"/>
    </row>
    <row r="223" spans="1:10">
      <c r="A223" s="16">
        <v>204</v>
      </c>
      <c r="B223" s="10">
        <f t="shared" si="16"/>
        <v>0</v>
      </c>
      <c r="C223" s="10">
        <f t="shared" si="17"/>
        <v>0</v>
      </c>
      <c r="D223" s="10">
        <f t="shared" si="18"/>
        <v>0</v>
      </c>
      <c r="E223" s="5">
        <f t="shared" si="19"/>
        <v>0</v>
      </c>
      <c r="F223" s="6"/>
      <c r="G223" s="6"/>
      <c r="H223" s="6"/>
      <c r="I223" s="6"/>
      <c r="J223" s="6"/>
    </row>
    <row r="224" spans="1:10">
      <c r="A224" s="16">
        <v>205</v>
      </c>
      <c r="B224" s="10">
        <f t="shared" si="16"/>
        <v>0</v>
      </c>
      <c r="C224" s="10">
        <f t="shared" si="17"/>
        <v>0</v>
      </c>
      <c r="D224" s="10">
        <f t="shared" si="18"/>
        <v>0</v>
      </c>
      <c r="E224" s="5">
        <f t="shared" si="19"/>
        <v>0</v>
      </c>
      <c r="F224" s="6"/>
      <c r="G224" s="6"/>
      <c r="H224" s="6"/>
      <c r="I224" s="6"/>
      <c r="J224" s="6"/>
    </row>
    <row r="225" spans="1:10">
      <c r="A225" s="16">
        <v>206</v>
      </c>
      <c r="B225" s="10">
        <f t="shared" si="16"/>
        <v>0</v>
      </c>
      <c r="C225" s="10">
        <f t="shared" si="17"/>
        <v>0</v>
      </c>
      <c r="D225" s="10">
        <f t="shared" si="18"/>
        <v>0</v>
      </c>
      <c r="E225" s="5">
        <f t="shared" si="19"/>
        <v>0</v>
      </c>
      <c r="F225" s="6"/>
      <c r="G225" s="6"/>
      <c r="H225" s="6"/>
      <c r="I225" s="6"/>
      <c r="J225" s="6"/>
    </row>
    <row r="226" spans="1:10">
      <c r="A226" s="16">
        <v>207</v>
      </c>
      <c r="B226" s="10">
        <f t="shared" si="16"/>
        <v>0</v>
      </c>
      <c r="C226" s="10">
        <f t="shared" si="17"/>
        <v>0</v>
      </c>
      <c r="D226" s="10">
        <f t="shared" si="18"/>
        <v>0</v>
      </c>
      <c r="E226" s="5">
        <f t="shared" si="19"/>
        <v>0</v>
      </c>
      <c r="F226" s="6"/>
      <c r="G226" s="6"/>
      <c r="H226" s="6"/>
      <c r="I226" s="6"/>
      <c r="J226" s="6"/>
    </row>
    <row r="227" spans="1:10">
      <c r="A227" s="16">
        <v>208</v>
      </c>
      <c r="B227" s="10">
        <f t="shared" si="16"/>
        <v>0</v>
      </c>
      <c r="C227" s="10">
        <f t="shared" si="17"/>
        <v>0</v>
      </c>
      <c r="D227" s="10">
        <f t="shared" si="18"/>
        <v>0</v>
      </c>
      <c r="E227" s="5">
        <f t="shared" si="19"/>
        <v>0</v>
      </c>
      <c r="F227" s="6"/>
      <c r="G227" s="6"/>
      <c r="H227" s="6"/>
      <c r="I227" s="6"/>
      <c r="J227" s="6"/>
    </row>
    <row r="228" spans="1:10">
      <c r="A228" s="16">
        <v>209</v>
      </c>
      <c r="B228" s="10">
        <f t="shared" si="16"/>
        <v>0</v>
      </c>
      <c r="C228" s="10">
        <f t="shared" si="17"/>
        <v>0</v>
      </c>
      <c r="D228" s="10">
        <f t="shared" si="18"/>
        <v>0</v>
      </c>
      <c r="E228" s="5">
        <f t="shared" si="19"/>
        <v>0</v>
      </c>
      <c r="F228" s="6"/>
      <c r="G228" s="6"/>
      <c r="H228" s="6"/>
      <c r="I228" s="6"/>
      <c r="J228" s="6"/>
    </row>
    <row r="229" spans="1:10">
      <c r="A229" s="16">
        <v>210</v>
      </c>
      <c r="B229" s="10">
        <f t="shared" si="16"/>
        <v>0</v>
      </c>
      <c r="C229" s="10">
        <f t="shared" si="17"/>
        <v>0</v>
      </c>
      <c r="D229" s="10">
        <f t="shared" si="18"/>
        <v>0</v>
      </c>
      <c r="E229" s="5">
        <f t="shared" si="19"/>
        <v>0</v>
      </c>
      <c r="F229" s="6"/>
      <c r="G229" s="6"/>
      <c r="H229" s="6"/>
      <c r="I229" s="6"/>
      <c r="J229" s="6"/>
    </row>
    <row r="230" spans="1:10">
      <c r="A230" s="16">
        <v>211</v>
      </c>
      <c r="B230" s="10">
        <f t="shared" si="16"/>
        <v>0</v>
      </c>
      <c r="C230" s="10">
        <f t="shared" si="17"/>
        <v>0</v>
      </c>
      <c r="D230" s="10">
        <f t="shared" si="18"/>
        <v>0</v>
      </c>
      <c r="E230" s="5">
        <f t="shared" si="19"/>
        <v>0</v>
      </c>
      <c r="F230" s="6"/>
      <c r="G230" s="6"/>
      <c r="H230" s="6"/>
      <c r="I230" s="6"/>
      <c r="J230" s="6"/>
    </row>
    <row r="231" spans="1:10">
      <c r="A231" s="16">
        <v>212</v>
      </c>
      <c r="B231" s="10">
        <f t="shared" si="16"/>
        <v>0</v>
      </c>
      <c r="C231" s="10">
        <f t="shared" si="17"/>
        <v>0</v>
      </c>
      <c r="D231" s="10">
        <f t="shared" si="18"/>
        <v>0</v>
      </c>
      <c r="E231" s="5">
        <f t="shared" si="19"/>
        <v>0</v>
      </c>
      <c r="F231" s="6"/>
      <c r="G231" s="6"/>
      <c r="H231" s="6"/>
      <c r="I231" s="6"/>
      <c r="J231" s="6"/>
    </row>
    <row r="232" spans="1:10">
      <c r="A232" s="16">
        <v>213</v>
      </c>
      <c r="B232" s="10">
        <f t="shared" si="16"/>
        <v>0</v>
      </c>
      <c r="C232" s="10">
        <f t="shared" si="17"/>
        <v>0</v>
      </c>
      <c r="D232" s="10">
        <f t="shared" si="18"/>
        <v>0</v>
      </c>
      <c r="E232" s="5">
        <f t="shared" si="19"/>
        <v>0</v>
      </c>
      <c r="F232" s="6"/>
      <c r="G232" s="6"/>
      <c r="H232" s="6"/>
      <c r="I232" s="6"/>
      <c r="J232" s="6"/>
    </row>
    <row r="233" spans="1:10">
      <c r="A233" s="16">
        <v>214</v>
      </c>
      <c r="B233" s="10">
        <f t="shared" si="16"/>
        <v>0</v>
      </c>
      <c r="C233" s="10">
        <f t="shared" si="17"/>
        <v>0</v>
      </c>
      <c r="D233" s="10">
        <f t="shared" si="18"/>
        <v>0</v>
      </c>
      <c r="E233" s="5">
        <f t="shared" si="19"/>
        <v>0</v>
      </c>
      <c r="F233" s="6"/>
      <c r="G233" s="6"/>
      <c r="H233" s="6"/>
      <c r="I233" s="6"/>
      <c r="J233" s="6"/>
    </row>
    <row r="234" spans="1:10">
      <c r="A234" s="16">
        <v>215</v>
      </c>
      <c r="B234" s="10">
        <f t="shared" si="16"/>
        <v>0</v>
      </c>
      <c r="C234" s="10">
        <f t="shared" si="17"/>
        <v>0</v>
      </c>
      <c r="D234" s="10">
        <f t="shared" si="18"/>
        <v>0</v>
      </c>
      <c r="E234" s="5">
        <f t="shared" si="19"/>
        <v>0</v>
      </c>
      <c r="F234" s="6"/>
      <c r="G234" s="6"/>
      <c r="H234" s="6"/>
      <c r="I234" s="6"/>
      <c r="J234" s="6"/>
    </row>
    <row r="235" spans="1:10">
      <c r="A235" s="16">
        <v>216</v>
      </c>
      <c r="B235" s="10">
        <f t="shared" si="16"/>
        <v>0</v>
      </c>
      <c r="C235" s="10">
        <f t="shared" si="17"/>
        <v>0</v>
      </c>
      <c r="D235" s="10">
        <f t="shared" si="18"/>
        <v>0</v>
      </c>
      <c r="E235" s="5">
        <f t="shared" si="19"/>
        <v>0</v>
      </c>
      <c r="F235" s="6"/>
      <c r="G235" s="6"/>
      <c r="H235" s="6"/>
      <c r="I235" s="6"/>
      <c r="J235" s="6"/>
    </row>
    <row r="236" spans="1:10">
      <c r="A236" s="16">
        <v>217</v>
      </c>
      <c r="B236" s="10">
        <f t="shared" si="16"/>
        <v>0</v>
      </c>
      <c r="C236" s="10">
        <f t="shared" si="17"/>
        <v>0</v>
      </c>
      <c r="D236" s="10">
        <f t="shared" si="18"/>
        <v>0</v>
      </c>
      <c r="E236" s="5">
        <f t="shared" si="19"/>
        <v>0</v>
      </c>
      <c r="F236" s="6"/>
      <c r="G236" s="6"/>
      <c r="H236" s="6"/>
      <c r="I236" s="6"/>
      <c r="J236" s="6"/>
    </row>
    <row r="237" spans="1:10">
      <c r="A237" s="16">
        <v>218</v>
      </c>
      <c r="B237" s="10">
        <f t="shared" si="16"/>
        <v>0</v>
      </c>
      <c r="C237" s="10">
        <f t="shared" si="17"/>
        <v>0</v>
      </c>
      <c r="D237" s="10">
        <f t="shared" si="18"/>
        <v>0</v>
      </c>
      <c r="E237" s="5">
        <f t="shared" si="19"/>
        <v>0</v>
      </c>
      <c r="F237" s="6"/>
      <c r="G237" s="6"/>
      <c r="H237" s="6"/>
      <c r="I237" s="6"/>
      <c r="J237" s="6"/>
    </row>
    <row r="238" spans="1:10">
      <c r="A238" s="16">
        <v>219</v>
      </c>
      <c r="B238" s="10">
        <f t="shared" si="16"/>
        <v>0</v>
      </c>
      <c r="C238" s="10">
        <f t="shared" si="17"/>
        <v>0</v>
      </c>
      <c r="D238" s="10">
        <f t="shared" si="18"/>
        <v>0</v>
      </c>
      <c r="E238" s="5">
        <f t="shared" si="19"/>
        <v>0</v>
      </c>
      <c r="F238" s="6"/>
      <c r="G238" s="6"/>
      <c r="H238" s="6"/>
      <c r="I238" s="6"/>
      <c r="J238" s="6"/>
    </row>
    <row r="239" spans="1:10">
      <c r="A239" s="16">
        <v>220</v>
      </c>
      <c r="B239" s="10">
        <f t="shared" si="16"/>
        <v>0</v>
      </c>
      <c r="C239" s="10">
        <f t="shared" si="17"/>
        <v>0</v>
      </c>
      <c r="D239" s="10">
        <f t="shared" si="18"/>
        <v>0</v>
      </c>
      <c r="E239" s="5">
        <f t="shared" si="19"/>
        <v>0</v>
      </c>
      <c r="F239" s="6"/>
      <c r="G239" s="6"/>
      <c r="H239" s="6"/>
      <c r="I239" s="6"/>
      <c r="J239" s="6"/>
    </row>
    <row r="240" spans="1:10">
      <c r="A240" s="16">
        <v>221</v>
      </c>
      <c r="B240" s="10">
        <f t="shared" si="16"/>
        <v>0</v>
      </c>
      <c r="C240" s="10">
        <f t="shared" si="17"/>
        <v>0</v>
      </c>
      <c r="D240" s="10">
        <f t="shared" si="18"/>
        <v>0</v>
      </c>
      <c r="E240" s="5">
        <f t="shared" si="19"/>
        <v>0</v>
      </c>
      <c r="F240" s="6"/>
      <c r="G240" s="6"/>
      <c r="H240" s="6"/>
      <c r="I240" s="6"/>
      <c r="J240" s="6"/>
    </row>
    <row r="241" spans="1:10">
      <c r="A241" s="16">
        <v>222</v>
      </c>
      <c r="B241" s="10">
        <f t="shared" si="16"/>
        <v>0</v>
      </c>
      <c r="C241" s="10">
        <f t="shared" si="17"/>
        <v>0</v>
      </c>
      <c r="D241" s="10">
        <f t="shared" si="18"/>
        <v>0</v>
      </c>
      <c r="E241" s="5">
        <f t="shared" si="19"/>
        <v>0</v>
      </c>
      <c r="F241" s="6"/>
      <c r="G241" s="6"/>
      <c r="H241" s="6"/>
      <c r="I241" s="6"/>
      <c r="J241" s="6"/>
    </row>
    <row r="242" spans="1:10">
      <c r="A242" s="16">
        <v>223</v>
      </c>
      <c r="B242" s="10">
        <f t="shared" si="16"/>
        <v>0</v>
      </c>
      <c r="C242" s="10">
        <f t="shared" si="17"/>
        <v>0</v>
      </c>
      <c r="D242" s="10">
        <f t="shared" si="18"/>
        <v>0</v>
      </c>
      <c r="E242" s="5">
        <f t="shared" si="19"/>
        <v>0</v>
      </c>
      <c r="F242" s="6"/>
      <c r="G242" s="6"/>
      <c r="H242" s="6"/>
      <c r="I242" s="6"/>
      <c r="J242" s="6"/>
    </row>
    <row r="243" spans="1:10">
      <c r="A243" s="16">
        <v>224</v>
      </c>
      <c r="B243" s="10">
        <f t="shared" si="16"/>
        <v>0</v>
      </c>
      <c r="C243" s="10">
        <f t="shared" si="17"/>
        <v>0</v>
      </c>
      <c r="D243" s="10">
        <f t="shared" si="18"/>
        <v>0</v>
      </c>
      <c r="E243" s="5">
        <f t="shared" si="19"/>
        <v>0</v>
      </c>
      <c r="F243" s="6"/>
      <c r="G243" s="6"/>
      <c r="H243" s="6"/>
      <c r="I243" s="6"/>
      <c r="J243" s="6"/>
    </row>
    <row r="244" spans="1:10">
      <c r="A244" s="16">
        <v>225</v>
      </c>
      <c r="B244" s="10">
        <f t="shared" si="16"/>
        <v>0</v>
      </c>
      <c r="C244" s="10">
        <f t="shared" si="17"/>
        <v>0</v>
      </c>
      <c r="D244" s="10">
        <f t="shared" si="18"/>
        <v>0</v>
      </c>
      <c r="E244" s="5">
        <f t="shared" si="19"/>
        <v>0</v>
      </c>
      <c r="F244" s="6"/>
      <c r="G244" s="6"/>
      <c r="H244" s="6"/>
      <c r="I244" s="6"/>
      <c r="J244" s="6"/>
    </row>
    <row r="245" spans="1:10">
      <c r="A245" s="16">
        <v>226</v>
      </c>
      <c r="B245" s="10">
        <f t="shared" si="16"/>
        <v>0</v>
      </c>
      <c r="C245" s="10">
        <f t="shared" si="17"/>
        <v>0</v>
      </c>
      <c r="D245" s="10">
        <f t="shared" si="18"/>
        <v>0</v>
      </c>
      <c r="E245" s="5">
        <f t="shared" si="19"/>
        <v>0</v>
      </c>
      <c r="F245" s="6"/>
      <c r="G245" s="6"/>
      <c r="H245" s="6"/>
      <c r="I245" s="6"/>
      <c r="J245" s="6"/>
    </row>
    <row r="246" spans="1:10">
      <c r="A246" s="16">
        <v>227</v>
      </c>
      <c r="B246" s="10">
        <f t="shared" si="16"/>
        <v>0</v>
      </c>
      <c r="C246" s="10">
        <f t="shared" si="17"/>
        <v>0</v>
      </c>
      <c r="D246" s="10">
        <f t="shared" si="18"/>
        <v>0</v>
      </c>
      <c r="E246" s="5">
        <f t="shared" si="19"/>
        <v>0</v>
      </c>
      <c r="F246" s="6"/>
      <c r="G246" s="6"/>
      <c r="H246" s="6"/>
      <c r="I246" s="6"/>
      <c r="J246" s="6"/>
    </row>
    <row r="247" spans="1:10">
      <c r="A247" s="16">
        <v>228</v>
      </c>
      <c r="B247" s="10">
        <f t="shared" si="16"/>
        <v>0</v>
      </c>
      <c r="C247" s="10">
        <f t="shared" si="17"/>
        <v>0</v>
      </c>
      <c r="D247" s="10">
        <f t="shared" si="18"/>
        <v>0</v>
      </c>
      <c r="E247" s="5">
        <f t="shared" si="19"/>
        <v>0</v>
      </c>
      <c r="F247" s="6"/>
      <c r="G247" s="6"/>
      <c r="H247" s="6"/>
      <c r="I247" s="6"/>
      <c r="J247" s="6"/>
    </row>
    <row r="248" spans="1:10">
      <c r="A248" s="16">
        <v>229</v>
      </c>
      <c r="B248" s="10">
        <f t="shared" si="16"/>
        <v>0</v>
      </c>
      <c r="C248" s="10">
        <f t="shared" si="17"/>
        <v>0</v>
      </c>
      <c r="D248" s="10">
        <f t="shared" si="18"/>
        <v>0</v>
      </c>
      <c r="E248" s="5">
        <f t="shared" si="19"/>
        <v>0</v>
      </c>
      <c r="F248" s="6"/>
      <c r="G248" s="6"/>
      <c r="H248" s="6"/>
      <c r="I248" s="6"/>
      <c r="J248" s="6"/>
    </row>
    <row r="249" spans="1:10">
      <c r="A249" s="16">
        <v>230</v>
      </c>
      <c r="B249" s="10">
        <f t="shared" si="16"/>
        <v>0</v>
      </c>
      <c r="C249" s="10">
        <f t="shared" si="17"/>
        <v>0</v>
      </c>
      <c r="D249" s="10">
        <f t="shared" si="18"/>
        <v>0</v>
      </c>
      <c r="E249" s="5">
        <f t="shared" si="19"/>
        <v>0</v>
      </c>
      <c r="F249" s="6"/>
      <c r="G249" s="6"/>
      <c r="H249" s="6"/>
      <c r="I249" s="6"/>
      <c r="J249" s="6"/>
    </row>
    <row r="250" spans="1:10">
      <c r="A250" s="16">
        <v>231</v>
      </c>
      <c r="B250" s="10">
        <f t="shared" si="16"/>
        <v>0</v>
      </c>
      <c r="C250" s="10">
        <f t="shared" si="17"/>
        <v>0</v>
      </c>
      <c r="D250" s="10">
        <f t="shared" si="18"/>
        <v>0</v>
      </c>
      <c r="E250" s="5">
        <f t="shared" si="19"/>
        <v>0</v>
      </c>
      <c r="F250" s="6"/>
      <c r="G250" s="6"/>
      <c r="H250" s="6"/>
      <c r="I250" s="6"/>
      <c r="J250" s="6"/>
    </row>
    <row r="251" spans="1:10">
      <c r="A251" s="16">
        <v>232</v>
      </c>
      <c r="B251" s="10">
        <f t="shared" si="16"/>
        <v>0</v>
      </c>
      <c r="C251" s="10">
        <f t="shared" si="17"/>
        <v>0</v>
      </c>
      <c r="D251" s="10">
        <f t="shared" si="18"/>
        <v>0</v>
      </c>
      <c r="E251" s="5">
        <f t="shared" si="19"/>
        <v>0</v>
      </c>
      <c r="F251" s="6"/>
      <c r="G251" s="6"/>
      <c r="H251" s="6"/>
      <c r="I251" s="6"/>
      <c r="J251" s="6"/>
    </row>
    <row r="252" spans="1:10">
      <c r="A252" s="16">
        <v>233</v>
      </c>
      <c r="B252" s="10">
        <f t="shared" si="16"/>
        <v>0</v>
      </c>
      <c r="C252" s="10">
        <f t="shared" si="17"/>
        <v>0</v>
      </c>
      <c r="D252" s="10">
        <f t="shared" si="18"/>
        <v>0</v>
      </c>
      <c r="E252" s="5">
        <f t="shared" si="19"/>
        <v>0</v>
      </c>
      <c r="F252" s="6"/>
      <c r="G252" s="6"/>
      <c r="H252" s="6"/>
      <c r="I252" s="6"/>
      <c r="J252" s="6"/>
    </row>
    <row r="253" spans="1:10">
      <c r="A253" s="16">
        <v>234</v>
      </c>
      <c r="B253" s="10">
        <f t="shared" si="16"/>
        <v>0</v>
      </c>
      <c r="C253" s="10">
        <f t="shared" si="17"/>
        <v>0</v>
      </c>
      <c r="D253" s="10">
        <f t="shared" si="18"/>
        <v>0</v>
      </c>
      <c r="E253" s="5">
        <f t="shared" si="19"/>
        <v>0</v>
      </c>
      <c r="F253" s="6"/>
      <c r="G253" s="6"/>
      <c r="H253" s="6"/>
      <c r="I253" s="6"/>
      <c r="J253" s="6"/>
    </row>
    <row r="254" spans="1:10">
      <c r="A254" s="16">
        <v>235</v>
      </c>
      <c r="B254" s="10">
        <f t="shared" si="16"/>
        <v>0</v>
      </c>
      <c r="C254" s="10">
        <f t="shared" si="17"/>
        <v>0</v>
      </c>
      <c r="D254" s="10">
        <f t="shared" si="18"/>
        <v>0</v>
      </c>
      <c r="E254" s="5">
        <f t="shared" si="19"/>
        <v>0</v>
      </c>
      <c r="F254" s="6"/>
      <c r="G254" s="6"/>
      <c r="H254" s="6"/>
      <c r="I254" s="6"/>
      <c r="J254" s="6"/>
    </row>
    <row r="255" spans="1:10">
      <c r="A255" s="16">
        <v>236</v>
      </c>
      <c r="B255" s="10">
        <f t="shared" si="16"/>
        <v>0</v>
      </c>
      <c r="C255" s="10">
        <f t="shared" si="17"/>
        <v>0</v>
      </c>
      <c r="D255" s="10">
        <f t="shared" si="18"/>
        <v>0</v>
      </c>
      <c r="E255" s="5">
        <f t="shared" si="19"/>
        <v>0</v>
      </c>
      <c r="F255" s="6"/>
      <c r="G255" s="6"/>
      <c r="H255" s="6"/>
      <c r="I255" s="6"/>
      <c r="J255" s="6"/>
    </row>
    <row r="256" spans="1:10">
      <c r="A256" s="16">
        <v>237</v>
      </c>
      <c r="B256" s="10">
        <f t="shared" si="16"/>
        <v>0</v>
      </c>
      <c r="C256" s="10">
        <f t="shared" si="17"/>
        <v>0</v>
      </c>
      <c r="D256" s="10">
        <f t="shared" si="18"/>
        <v>0</v>
      </c>
      <c r="E256" s="5">
        <f t="shared" si="19"/>
        <v>0</v>
      </c>
      <c r="F256" s="6"/>
      <c r="G256" s="6"/>
      <c r="H256" s="6"/>
      <c r="I256" s="6"/>
      <c r="J256" s="6"/>
    </row>
    <row r="257" spans="1:10">
      <c r="A257" s="16">
        <v>238</v>
      </c>
      <c r="B257" s="10">
        <f t="shared" si="16"/>
        <v>0</v>
      </c>
      <c r="C257" s="10">
        <f t="shared" si="17"/>
        <v>0</v>
      </c>
      <c r="D257" s="10">
        <f t="shared" si="18"/>
        <v>0</v>
      </c>
      <c r="E257" s="5">
        <f t="shared" si="19"/>
        <v>0</v>
      </c>
      <c r="F257" s="6"/>
      <c r="G257" s="6"/>
      <c r="H257" s="6"/>
      <c r="I257" s="6"/>
      <c r="J257" s="6"/>
    </row>
    <row r="258" spans="1:10">
      <c r="A258" s="16">
        <v>239</v>
      </c>
      <c r="B258" s="10">
        <f t="shared" si="16"/>
        <v>0</v>
      </c>
      <c r="C258" s="10">
        <f t="shared" si="17"/>
        <v>0</v>
      </c>
      <c r="D258" s="10">
        <f t="shared" si="18"/>
        <v>0</v>
      </c>
      <c r="E258" s="5">
        <f t="shared" si="19"/>
        <v>0</v>
      </c>
      <c r="F258" s="6"/>
      <c r="G258" s="6"/>
      <c r="H258" s="6"/>
      <c r="I258" s="6"/>
      <c r="J258" s="6"/>
    </row>
    <row r="259" spans="1:10">
      <c r="A259" s="16">
        <v>240</v>
      </c>
      <c r="B259" s="10">
        <f t="shared" si="16"/>
        <v>0</v>
      </c>
      <c r="C259" s="10">
        <f t="shared" si="17"/>
        <v>0</v>
      </c>
      <c r="D259" s="10">
        <f t="shared" si="18"/>
        <v>0</v>
      </c>
      <c r="E259" s="5">
        <f t="shared" si="19"/>
        <v>0</v>
      </c>
      <c r="F259" s="6"/>
      <c r="G259" s="6"/>
      <c r="H259" s="6"/>
      <c r="I259" s="6"/>
      <c r="J259" s="6"/>
    </row>
    <row r="260" spans="1:10">
      <c r="A260" s="16">
        <v>241</v>
      </c>
      <c r="B260" s="10">
        <f t="shared" si="16"/>
        <v>0</v>
      </c>
      <c r="C260" s="10">
        <f t="shared" si="17"/>
        <v>0</v>
      </c>
      <c r="D260" s="10">
        <f t="shared" si="18"/>
        <v>0</v>
      </c>
      <c r="E260" s="5">
        <f t="shared" si="19"/>
        <v>0</v>
      </c>
      <c r="F260" s="6"/>
      <c r="G260" s="6"/>
      <c r="H260" s="6"/>
      <c r="I260" s="6"/>
      <c r="J260" s="6"/>
    </row>
    <row r="261" spans="1:10">
      <c r="A261" s="16">
        <v>242</v>
      </c>
      <c r="B261" s="10">
        <f t="shared" si="16"/>
        <v>0</v>
      </c>
      <c r="C261" s="10">
        <f t="shared" si="17"/>
        <v>0</v>
      </c>
      <c r="D261" s="10">
        <f t="shared" si="18"/>
        <v>0</v>
      </c>
      <c r="E261" s="5">
        <f t="shared" si="19"/>
        <v>0</v>
      </c>
      <c r="F261" s="6"/>
      <c r="G261" s="6"/>
      <c r="H261" s="6"/>
      <c r="I261" s="6"/>
      <c r="J261" s="6"/>
    </row>
    <row r="262" spans="1:10">
      <c r="A262" s="16">
        <v>243</v>
      </c>
      <c r="B262" s="10">
        <f t="shared" si="16"/>
        <v>0</v>
      </c>
      <c r="C262" s="10">
        <f t="shared" si="17"/>
        <v>0</v>
      </c>
      <c r="D262" s="10">
        <f t="shared" si="18"/>
        <v>0</v>
      </c>
      <c r="E262" s="5">
        <f t="shared" si="19"/>
        <v>0</v>
      </c>
      <c r="F262" s="6"/>
      <c r="G262" s="6"/>
      <c r="H262" s="6"/>
      <c r="I262" s="6"/>
      <c r="J262" s="6"/>
    </row>
    <row r="263" spans="1:10">
      <c r="A263" s="16">
        <v>244</v>
      </c>
      <c r="B263" s="10">
        <f t="shared" si="16"/>
        <v>0</v>
      </c>
      <c r="C263" s="10">
        <f t="shared" si="17"/>
        <v>0</v>
      </c>
      <c r="D263" s="10">
        <f t="shared" si="18"/>
        <v>0</v>
      </c>
      <c r="E263" s="5">
        <f t="shared" si="19"/>
        <v>0</v>
      </c>
      <c r="F263" s="6"/>
      <c r="G263" s="6"/>
      <c r="H263" s="6"/>
      <c r="I263" s="6"/>
      <c r="J263" s="6"/>
    </row>
    <row r="264" spans="1:10">
      <c r="A264" s="16">
        <v>245</v>
      </c>
      <c r="B264" s="10">
        <f t="shared" si="16"/>
        <v>0</v>
      </c>
      <c r="C264" s="10">
        <f t="shared" si="17"/>
        <v>0</v>
      </c>
      <c r="D264" s="10">
        <f t="shared" si="18"/>
        <v>0</v>
      </c>
      <c r="E264" s="5">
        <f t="shared" si="19"/>
        <v>0</v>
      </c>
      <c r="F264" s="6"/>
      <c r="G264" s="6"/>
      <c r="H264" s="6"/>
      <c r="I264" s="6"/>
      <c r="J264" s="6"/>
    </row>
    <row r="265" spans="1:10">
      <c r="A265" s="16">
        <v>246</v>
      </c>
      <c r="B265" s="10">
        <f t="shared" si="16"/>
        <v>0</v>
      </c>
      <c r="C265" s="10">
        <f t="shared" si="17"/>
        <v>0</v>
      </c>
      <c r="D265" s="10">
        <f t="shared" si="18"/>
        <v>0</v>
      </c>
      <c r="E265" s="5">
        <f t="shared" si="19"/>
        <v>0</v>
      </c>
      <c r="F265" s="6"/>
      <c r="G265" s="6"/>
      <c r="H265" s="6"/>
      <c r="I265" s="6"/>
      <c r="J265" s="6"/>
    </row>
    <row r="266" spans="1:10">
      <c r="A266" s="16">
        <v>247</v>
      </c>
      <c r="B266" s="10">
        <f t="shared" si="16"/>
        <v>0</v>
      </c>
      <c r="C266" s="10">
        <f t="shared" si="17"/>
        <v>0</v>
      </c>
      <c r="D266" s="10">
        <f t="shared" si="18"/>
        <v>0</v>
      </c>
      <c r="E266" s="5">
        <f t="shared" si="19"/>
        <v>0</v>
      </c>
      <c r="F266" s="6"/>
      <c r="G266" s="6"/>
      <c r="H266" s="6"/>
      <c r="I266" s="6"/>
      <c r="J266" s="6"/>
    </row>
    <row r="267" spans="1:10">
      <c r="A267" s="16">
        <v>248</v>
      </c>
      <c r="B267" s="10">
        <f t="shared" si="16"/>
        <v>0</v>
      </c>
      <c r="C267" s="10">
        <f t="shared" si="17"/>
        <v>0</v>
      </c>
      <c r="D267" s="10">
        <f t="shared" si="18"/>
        <v>0</v>
      </c>
      <c r="E267" s="5">
        <f t="shared" si="19"/>
        <v>0</v>
      </c>
      <c r="F267" s="6"/>
      <c r="G267" s="6"/>
      <c r="H267" s="6"/>
      <c r="I267" s="6"/>
      <c r="J267" s="6"/>
    </row>
    <row r="268" spans="1:10">
      <c r="A268" s="16">
        <v>249</v>
      </c>
      <c r="B268" s="10">
        <f t="shared" si="16"/>
        <v>0</v>
      </c>
      <c r="C268" s="10">
        <f t="shared" si="17"/>
        <v>0</v>
      </c>
      <c r="D268" s="10">
        <f t="shared" si="18"/>
        <v>0</v>
      </c>
      <c r="E268" s="5">
        <f t="shared" si="19"/>
        <v>0</v>
      </c>
      <c r="F268" s="6"/>
      <c r="G268" s="6"/>
      <c r="H268" s="6"/>
      <c r="I268" s="6"/>
      <c r="J268" s="6"/>
    </row>
    <row r="269" spans="1:10">
      <c r="A269" s="16">
        <v>250</v>
      </c>
      <c r="B269" s="10">
        <f t="shared" si="16"/>
        <v>0</v>
      </c>
      <c r="C269" s="10">
        <f t="shared" si="17"/>
        <v>0</v>
      </c>
      <c r="D269" s="10">
        <f t="shared" si="18"/>
        <v>0</v>
      </c>
      <c r="E269" s="5">
        <f t="shared" si="19"/>
        <v>0</v>
      </c>
      <c r="F269" s="6"/>
      <c r="G269" s="6"/>
      <c r="H269" s="6"/>
      <c r="I269" s="6"/>
      <c r="J269" s="6"/>
    </row>
    <row r="270" spans="1:10">
      <c r="A270" s="16">
        <v>251</v>
      </c>
      <c r="B270" s="10">
        <f t="shared" si="16"/>
        <v>0</v>
      </c>
      <c r="C270" s="10">
        <f t="shared" si="17"/>
        <v>0</v>
      </c>
      <c r="D270" s="10">
        <f t="shared" si="18"/>
        <v>0</v>
      </c>
      <c r="E270" s="5">
        <f t="shared" si="19"/>
        <v>0</v>
      </c>
      <c r="F270" s="6"/>
      <c r="G270" s="6"/>
      <c r="H270" s="6"/>
      <c r="I270" s="6"/>
      <c r="J270" s="6"/>
    </row>
    <row r="271" spans="1:10">
      <c r="A271" s="16">
        <v>252</v>
      </c>
      <c r="B271" s="10">
        <f t="shared" si="16"/>
        <v>0</v>
      </c>
      <c r="C271" s="10">
        <f t="shared" si="17"/>
        <v>0</v>
      </c>
      <c r="D271" s="10">
        <f t="shared" si="18"/>
        <v>0</v>
      </c>
      <c r="E271" s="5">
        <f t="shared" si="19"/>
        <v>0</v>
      </c>
      <c r="F271" s="6"/>
      <c r="G271" s="6"/>
      <c r="H271" s="6"/>
      <c r="I271" s="6"/>
      <c r="J271" s="6"/>
    </row>
    <row r="272" spans="1:10">
      <c r="A272" s="16">
        <v>253</v>
      </c>
      <c r="B272" s="10">
        <f t="shared" si="16"/>
        <v>0</v>
      </c>
      <c r="C272" s="10">
        <f t="shared" si="17"/>
        <v>0</v>
      </c>
      <c r="D272" s="10">
        <f t="shared" si="18"/>
        <v>0</v>
      </c>
      <c r="E272" s="5">
        <f t="shared" si="19"/>
        <v>0</v>
      </c>
      <c r="F272" s="6"/>
      <c r="G272" s="6"/>
      <c r="H272" s="6"/>
      <c r="I272" s="6"/>
      <c r="J272" s="6"/>
    </row>
    <row r="273" spans="1:10">
      <c r="A273" s="16">
        <v>254</v>
      </c>
      <c r="B273" s="10">
        <f t="shared" si="16"/>
        <v>0</v>
      </c>
      <c r="C273" s="10">
        <f t="shared" si="17"/>
        <v>0</v>
      </c>
      <c r="D273" s="10">
        <f t="shared" si="18"/>
        <v>0</v>
      </c>
      <c r="E273" s="5">
        <f t="shared" si="19"/>
        <v>0</v>
      </c>
      <c r="F273" s="6"/>
      <c r="G273" s="6"/>
      <c r="H273" s="6"/>
      <c r="I273" s="6"/>
      <c r="J273" s="6"/>
    </row>
    <row r="274" spans="1:10">
      <c r="A274" s="16">
        <v>255</v>
      </c>
      <c r="B274" s="10">
        <f t="shared" si="16"/>
        <v>0</v>
      </c>
      <c r="C274" s="10">
        <f t="shared" si="17"/>
        <v>0</v>
      </c>
      <c r="D274" s="10">
        <f t="shared" si="18"/>
        <v>0</v>
      </c>
      <c r="E274" s="5">
        <f t="shared" si="19"/>
        <v>0</v>
      </c>
      <c r="F274" s="6"/>
      <c r="G274" s="6"/>
      <c r="H274" s="6"/>
      <c r="I274" s="6"/>
      <c r="J274" s="6"/>
    </row>
    <row r="275" spans="1:10">
      <c r="A275" s="16">
        <v>256</v>
      </c>
      <c r="B275" s="10">
        <f t="shared" si="16"/>
        <v>0</v>
      </c>
      <c r="C275" s="10">
        <f t="shared" si="17"/>
        <v>0</v>
      </c>
      <c r="D275" s="10">
        <f t="shared" si="18"/>
        <v>0</v>
      </c>
      <c r="E275" s="5">
        <f t="shared" si="19"/>
        <v>0</v>
      </c>
      <c r="F275" s="6"/>
      <c r="G275" s="6"/>
      <c r="H275" s="6"/>
      <c r="I275" s="6"/>
      <c r="J275" s="6"/>
    </row>
    <row r="276" spans="1:10">
      <c r="A276" s="16">
        <v>257</v>
      </c>
      <c r="B276" s="10">
        <f t="shared" ref="B276:B339" si="20">IF(A276&lt;=$D$5*12,B275-D276,0)</f>
        <v>0</v>
      </c>
      <c r="C276" s="10">
        <f t="shared" ref="C276:C339" si="21">IF(A276&lt;=$D$5*12,B275*$D$6/12,0)</f>
        <v>0</v>
      </c>
      <c r="D276" s="10">
        <f t="shared" si="18"/>
        <v>0</v>
      </c>
      <c r="E276" s="5">
        <f t="shared" si="19"/>
        <v>0</v>
      </c>
      <c r="F276" s="6"/>
      <c r="G276" s="6"/>
      <c r="H276" s="6"/>
      <c r="I276" s="6"/>
      <c r="J276" s="6"/>
    </row>
    <row r="277" spans="1:10">
      <c r="A277" s="16">
        <v>258</v>
      </c>
      <c r="B277" s="10">
        <f t="shared" si="20"/>
        <v>0</v>
      </c>
      <c r="C277" s="10">
        <f t="shared" si="21"/>
        <v>0</v>
      </c>
      <c r="D277" s="10">
        <f t="shared" ref="D277:D340" si="22">IF($D$3="Annuitätendarlehen",IF(A277&lt;=$D$5*12,E277-C277,0),IF($D$3="Ratendarlehen",IF(AND(A277&lt;=$D$5*12,A277&gt;$D$7),$D$4/($D$5*12-$D$7),0),IF($D$3="Restwertdarlehen",IF(A277=$D$5*12,$D$4,0),0)))</f>
        <v>0</v>
      </c>
      <c r="E277" s="5">
        <f t="shared" ref="E277:E340" si="23">IF($D$3="Annuitätendarlehen",IF(AND(A277&lt;=$D$5*12,A277&gt;$D$7),PMT($D$6/12,$D$5*12-$D$7,-$D$4,$D$8,0),IF(A277&lt;=$D$7,C277,0)),IF($D$3="Ratendarlehen",IF(AND(A277&lt;=$D$5*12,A277&gt;$D$7),$D$4/($D$5*12-$D$7)+C277,IF(A277&lt;=$D$7,C277,0)),IF(AND($D$3="Restwertdarlehen",A277&lt;=$D$5*12),C277+D277,0)))</f>
        <v>0</v>
      </c>
      <c r="F277" s="6"/>
      <c r="G277" s="6"/>
      <c r="H277" s="6"/>
      <c r="I277" s="6"/>
      <c r="J277" s="6"/>
    </row>
    <row r="278" spans="1:10">
      <c r="A278" s="16">
        <v>259</v>
      </c>
      <c r="B278" s="10">
        <f t="shared" si="20"/>
        <v>0</v>
      </c>
      <c r="C278" s="10">
        <f t="shared" si="21"/>
        <v>0</v>
      </c>
      <c r="D278" s="10">
        <f t="shared" si="22"/>
        <v>0</v>
      </c>
      <c r="E278" s="5">
        <f t="shared" si="23"/>
        <v>0</v>
      </c>
      <c r="F278" s="6"/>
      <c r="G278" s="6"/>
      <c r="H278" s="6"/>
      <c r="I278" s="6"/>
      <c r="J278" s="6"/>
    </row>
    <row r="279" spans="1:10">
      <c r="A279" s="16">
        <v>260</v>
      </c>
      <c r="B279" s="10">
        <f t="shared" si="20"/>
        <v>0</v>
      </c>
      <c r="C279" s="10">
        <f t="shared" si="21"/>
        <v>0</v>
      </c>
      <c r="D279" s="10">
        <f t="shared" si="22"/>
        <v>0</v>
      </c>
      <c r="E279" s="5">
        <f t="shared" si="23"/>
        <v>0</v>
      </c>
      <c r="F279" s="6"/>
      <c r="G279" s="6"/>
      <c r="H279" s="6"/>
      <c r="I279" s="6"/>
      <c r="J279" s="6"/>
    </row>
    <row r="280" spans="1:10">
      <c r="A280" s="16">
        <v>261</v>
      </c>
      <c r="B280" s="10">
        <f t="shared" si="20"/>
        <v>0</v>
      </c>
      <c r="C280" s="10">
        <f t="shared" si="21"/>
        <v>0</v>
      </c>
      <c r="D280" s="10">
        <f t="shared" si="22"/>
        <v>0</v>
      </c>
      <c r="E280" s="5">
        <f t="shared" si="23"/>
        <v>0</v>
      </c>
      <c r="F280" s="6"/>
      <c r="G280" s="6"/>
      <c r="H280" s="6"/>
      <c r="I280" s="6"/>
      <c r="J280" s="6"/>
    </row>
    <row r="281" spans="1:10">
      <c r="A281" s="16">
        <v>262</v>
      </c>
      <c r="B281" s="10">
        <f t="shared" si="20"/>
        <v>0</v>
      </c>
      <c r="C281" s="10">
        <f t="shared" si="21"/>
        <v>0</v>
      </c>
      <c r="D281" s="10">
        <f t="shared" si="22"/>
        <v>0</v>
      </c>
      <c r="E281" s="5">
        <f t="shared" si="23"/>
        <v>0</v>
      </c>
      <c r="F281" s="6"/>
      <c r="G281" s="6"/>
      <c r="H281" s="6"/>
      <c r="I281" s="6"/>
      <c r="J281" s="6"/>
    </row>
    <row r="282" spans="1:10">
      <c r="A282" s="16">
        <v>263</v>
      </c>
      <c r="B282" s="10">
        <f t="shared" si="20"/>
        <v>0</v>
      </c>
      <c r="C282" s="10">
        <f t="shared" si="21"/>
        <v>0</v>
      </c>
      <c r="D282" s="10">
        <f t="shared" si="22"/>
        <v>0</v>
      </c>
      <c r="E282" s="5">
        <f t="shared" si="23"/>
        <v>0</v>
      </c>
      <c r="F282" s="6"/>
      <c r="G282" s="6"/>
      <c r="H282" s="6"/>
      <c r="I282" s="6"/>
      <c r="J282" s="6"/>
    </row>
    <row r="283" spans="1:10">
      <c r="A283" s="16">
        <v>264</v>
      </c>
      <c r="B283" s="10">
        <f t="shared" si="20"/>
        <v>0</v>
      </c>
      <c r="C283" s="10">
        <f t="shared" si="21"/>
        <v>0</v>
      </c>
      <c r="D283" s="10">
        <f t="shared" si="22"/>
        <v>0</v>
      </c>
      <c r="E283" s="5">
        <f t="shared" si="23"/>
        <v>0</v>
      </c>
      <c r="F283" s="6"/>
      <c r="G283" s="6"/>
      <c r="H283" s="6"/>
      <c r="I283" s="6"/>
      <c r="J283" s="6"/>
    </row>
    <row r="284" spans="1:10">
      <c r="A284" s="16">
        <v>265</v>
      </c>
      <c r="B284" s="10">
        <f t="shared" si="20"/>
        <v>0</v>
      </c>
      <c r="C284" s="10">
        <f t="shared" si="21"/>
        <v>0</v>
      </c>
      <c r="D284" s="10">
        <f t="shared" si="22"/>
        <v>0</v>
      </c>
      <c r="E284" s="5">
        <f t="shared" si="23"/>
        <v>0</v>
      </c>
      <c r="F284" s="6"/>
      <c r="G284" s="6"/>
      <c r="H284" s="6"/>
      <c r="I284" s="6"/>
      <c r="J284" s="6"/>
    </row>
    <row r="285" spans="1:10">
      <c r="A285" s="16">
        <v>266</v>
      </c>
      <c r="B285" s="10">
        <f t="shared" si="20"/>
        <v>0</v>
      </c>
      <c r="C285" s="10">
        <f t="shared" si="21"/>
        <v>0</v>
      </c>
      <c r="D285" s="10">
        <f t="shared" si="22"/>
        <v>0</v>
      </c>
      <c r="E285" s="5">
        <f t="shared" si="23"/>
        <v>0</v>
      </c>
      <c r="F285" s="6"/>
      <c r="G285" s="6"/>
      <c r="H285" s="6"/>
      <c r="I285" s="6"/>
      <c r="J285" s="6"/>
    </row>
    <row r="286" spans="1:10">
      <c r="A286" s="16">
        <v>267</v>
      </c>
      <c r="B286" s="10">
        <f t="shared" si="20"/>
        <v>0</v>
      </c>
      <c r="C286" s="10">
        <f t="shared" si="21"/>
        <v>0</v>
      </c>
      <c r="D286" s="10">
        <f t="shared" si="22"/>
        <v>0</v>
      </c>
      <c r="E286" s="5">
        <f t="shared" si="23"/>
        <v>0</v>
      </c>
      <c r="F286" s="6"/>
      <c r="G286" s="6"/>
      <c r="H286" s="6"/>
      <c r="I286" s="6"/>
      <c r="J286" s="6"/>
    </row>
    <row r="287" spans="1:10">
      <c r="A287" s="16">
        <v>268</v>
      </c>
      <c r="B287" s="10">
        <f t="shared" si="20"/>
        <v>0</v>
      </c>
      <c r="C287" s="10">
        <f t="shared" si="21"/>
        <v>0</v>
      </c>
      <c r="D287" s="10">
        <f t="shared" si="22"/>
        <v>0</v>
      </c>
      <c r="E287" s="5">
        <f t="shared" si="23"/>
        <v>0</v>
      </c>
      <c r="F287" s="6"/>
      <c r="G287" s="6"/>
      <c r="H287" s="6"/>
      <c r="I287" s="6"/>
      <c r="J287" s="6"/>
    </row>
    <row r="288" spans="1:10">
      <c r="A288" s="16">
        <v>269</v>
      </c>
      <c r="B288" s="10">
        <f t="shared" si="20"/>
        <v>0</v>
      </c>
      <c r="C288" s="10">
        <f t="shared" si="21"/>
        <v>0</v>
      </c>
      <c r="D288" s="10">
        <f t="shared" si="22"/>
        <v>0</v>
      </c>
      <c r="E288" s="5">
        <f t="shared" si="23"/>
        <v>0</v>
      </c>
      <c r="F288" s="6"/>
      <c r="G288" s="6"/>
      <c r="H288" s="6"/>
      <c r="I288" s="6"/>
      <c r="J288" s="6"/>
    </row>
    <row r="289" spans="1:10">
      <c r="A289" s="16">
        <v>270</v>
      </c>
      <c r="B289" s="10">
        <f t="shared" si="20"/>
        <v>0</v>
      </c>
      <c r="C289" s="10">
        <f t="shared" si="21"/>
        <v>0</v>
      </c>
      <c r="D289" s="10">
        <f t="shared" si="22"/>
        <v>0</v>
      </c>
      <c r="E289" s="5">
        <f t="shared" si="23"/>
        <v>0</v>
      </c>
      <c r="F289" s="6"/>
      <c r="G289" s="6"/>
      <c r="H289" s="6"/>
      <c r="I289" s="6"/>
      <c r="J289" s="6"/>
    </row>
    <row r="290" spans="1:10">
      <c r="A290" s="16">
        <v>271</v>
      </c>
      <c r="B290" s="10">
        <f t="shared" si="20"/>
        <v>0</v>
      </c>
      <c r="C290" s="10">
        <f t="shared" si="21"/>
        <v>0</v>
      </c>
      <c r="D290" s="10">
        <f t="shared" si="22"/>
        <v>0</v>
      </c>
      <c r="E290" s="5">
        <f t="shared" si="23"/>
        <v>0</v>
      </c>
      <c r="F290" s="6"/>
      <c r="G290" s="6"/>
      <c r="H290" s="6"/>
      <c r="I290" s="6"/>
      <c r="J290" s="6"/>
    </row>
    <row r="291" spans="1:10">
      <c r="A291" s="16">
        <v>272</v>
      </c>
      <c r="B291" s="10">
        <f t="shared" si="20"/>
        <v>0</v>
      </c>
      <c r="C291" s="10">
        <f t="shared" si="21"/>
        <v>0</v>
      </c>
      <c r="D291" s="10">
        <f t="shared" si="22"/>
        <v>0</v>
      </c>
      <c r="E291" s="5">
        <f t="shared" si="23"/>
        <v>0</v>
      </c>
      <c r="F291" s="6"/>
      <c r="G291" s="6"/>
      <c r="H291" s="6"/>
      <c r="I291" s="6"/>
      <c r="J291" s="6"/>
    </row>
    <row r="292" spans="1:10">
      <c r="A292" s="16">
        <v>273</v>
      </c>
      <c r="B292" s="10">
        <f t="shared" si="20"/>
        <v>0</v>
      </c>
      <c r="C292" s="10">
        <f t="shared" si="21"/>
        <v>0</v>
      </c>
      <c r="D292" s="10">
        <f t="shared" si="22"/>
        <v>0</v>
      </c>
      <c r="E292" s="5">
        <f t="shared" si="23"/>
        <v>0</v>
      </c>
      <c r="F292" s="6"/>
      <c r="G292" s="6"/>
      <c r="H292" s="6"/>
      <c r="I292" s="6"/>
      <c r="J292" s="6"/>
    </row>
    <row r="293" spans="1:10">
      <c r="A293" s="16">
        <v>274</v>
      </c>
      <c r="B293" s="10">
        <f t="shared" si="20"/>
        <v>0</v>
      </c>
      <c r="C293" s="10">
        <f t="shared" si="21"/>
        <v>0</v>
      </c>
      <c r="D293" s="10">
        <f t="shared" si="22"/>
        <v>0</v>
      </c>
      <c r="E293" s="5">
        <f t="shared" si="23"/>
        <v>0</v>
      </c>
      <c r="F293" s="6"/>
      <c r="G293" s="6"/>
      <c r="H293" s="6"/>
      <c r="I293" s="6"/>
      <c r="J293" s="6"/>
    </row>
    <row r="294" spans="1:10">
      <c r="A294" s="16">
        <v>275</v>
      </c>
      <c r="B294" s="10">
        <f t="shared" si="20"/>
        <v>0</v>
      </c>
      <c r="C294" s="10">
        <f t="shared" si="21"/>
        <v>0</v>
      </c>
      <c r="D294" s="10">
        <f t="shared" si="22"/>
        <v>0</v>
      </c>
      <c r="E294" s="5">
        <f t="shared" si="23"/>
        <v>0</v>
      </c>
      <c r="F294" s="6"/>
      <c r="G294" s="6"/>
      <c r="H294" s="6"/>
      <c r="I294" s="6"/>
      <c r="J294" s="6"/>
    </row>
    <row r="295" spans="1:10">
      <c r="A295" s="16">
        <v>276</v>
      </c>
      <c r="B295" s="10">
        <f t="shared" si="20"/>
        <v>0</v>
      </c>
      <c r="C295" s="10">
        <f t="shared" si="21"/>
        <v>0</v>
      </c>
      <c r="D295" s="10">
        <f t="shared" si="22"/>
        <v>0</v>
      </c>
      <c r="E295" s="5">
        <f t="shared" si="23"/>
        <v>0</v>
      </c>
      <c r="F295" s="6"/>
      <c r="G295" s="6"/>
      <c r="H295" s="6"/>
      <c r="I295" s="6"/>
      <c r="J295" s="6"/>
    </row>
    <row r="296" spans="1:10">
      <c r="A296" s="16">
        <v>277</v>
      </c>
      <c r="B296" s="10">
        <f t="shared" si="20"/>
        <v>0</v>
      </c>
      <c r="C296" s="10">
        <f t="shared" si="21"/>
        <v>0</v>
      </c>
      <c r="D296" s="10">
        <f t="shared" si="22"/>
        <v>0</v>
      </c>
      <c r="E296" s="5">
        <f t="shared" si="23"/>
        <v>0</v>
      </c>
      <c r="F296" s="6"/>
      <c r="G296" s="6"/>
      <c r="H296" s="6"/>
      <c r="I296" s="6"/>
      <c r="J296" s="6"/>
    </row>
    <row r="297" spans="1:10">
      <c r="A297" s="16">
        <v>278</v>
      </c>
      <c r="B297" s="10">
        <f t="shared" si="20"/>
        <v>0</v>
      </c>
      <c r="C297" s="10">
        <f t="shared" si="21"/>
        <v>0</v>
      </c>
      <c r="D297" s="10">
        <f t="shared" si="22"/>
        <v>0</v>
      </c>
      <c r="E297" s="5">
        <f t="shared" si="23"/>
        <v>0</v>
      </c>
      <c r="F297" s="6"/>
      <c r="G297" s="6"/>
      <c r="H297" s="6"/>
      <c r="I297" s="6"/>
      <c r="J297" s="6"/>
    </row>
    <row r="298" spans="1:10">
      <c r="A298" s="16">
        <v>279</v>
      </c>
      <c r="B298" s="10">
        <f t="shared" si="20"/>
        <v>0</v>
      </c>
      <c r="C298" s="10">
        <f t="shared" si="21"/>
        <v>0</v>
      </c>
      <c r="D298" s="10">
        <f t="shared" si="22"/>
        <v>0</v>
      </c>
      <c r="E298" s="5">
        <f t="shared" si="23"/>
        <v>0</v>
      </c>
      <c r="F298" s="6"/>
      <c r="G298" s="6"/>
      <c r="H298" s="6"/>
      <c r="I298" s="6"/>
      <c r="J298" s="6"/>
    </row>
    <row r="299" spans="1:10">
      <c r="A299" s="16">
        <v>280</v>
      </c>
      <c r="B299" s="10">
        <f t="shared" si="20"/>
        <v>0</v>
      </c>
      <c r="C299" s="10">
        <f t="shared" si="21"/>
        <v>0</v>
      </c>
      <c r="D299" s="10">
        <f t="shared" si="22"/>
        <v>0</v>
      </c>
      <c r="E299" s="5">
        <f t="shared" si="23"/>
        <v>0</v>
      </c>
      <c r="F299" s="6"/>
      <c r="G299" s="6"/>
      <c r="H299" s="6"/>
      <c r="I299" s="6"/>
      <c r="J299" s="6"/>
    </row>
    <row r="300" spans="1:10">
      <c r="A300" s="16">
        <v>281</v>
      </c>
      <c r="B300" s="10">
        <f t="shared" si="20"/>
        <v>0</v>
      </c>
      <c r="C300" s="10">
        <f t="shared" si="21"/>
        <v>0</v>
      </c>
      <c r="D300" s="10">
        <f t="shared" si="22"/>
        <v>0</v>
      </c>
      <c r="E300" s="5">
        <f t="shared" si="23"/>
        <v>0</v>
      </c>
      <c r="F300" s="6"/>
      <c r="G300" s="6"/>
      <c r="H300" s="6"/>
      <c r="I300" s="6"/>
      <c r="J300" s="6"/>
    </row>
    <row r="301" spans="1:10">
      <c r="A301" s="16">
        <v>282</v>
      </c>
      <c r="B301" s="10">
        <f t="shared" si="20"/>
        <v>0</v>
      </c>
      <c r="C301" s="10">
        <f t="shared" si="21"/>
        <v>0</v>
      </c>
      <c r="D301" s="10">
        <f t="shared" si="22"/>
        <v>0</v>
      </c>
      <c r="E301" s="5">
        <f t="shared" si="23"/>
        <v>0</v>
      </c>
      <c r="F301" s="6"/>
      <c r="G301" s="6"/>
      <c r="H301" s="6"/>
      <c r="I301" s="6"/>
      <c r="J301" s="6"/>
    </row>
    <row r="302" spans="1:10">
      <c r="A302" s="16">
        <v>283</v>
      </c>
      <c r="B302" s="10">
        <f t="shared" si="20"/>
        <v>0</v>
      </c>
      <c r="C302" s="10">
        <f t="shared" si="21"/>
        <v>0</v>
      </c>
      <c r="D302" s="10">
        <f t="shared" si="22"/>
        <v>0</v>
      </c>
      <c r="E302" s="5">
        <f t="shared" si="23"/>
        <v>0</v>
      </c>
      <c r="F302" s="6"/>
      <c r="G302" s="6"/>
      <c r="H302" s="6"/>
      <c r="I302" s="6"/>
      <c r="J302" s="6"/>
    </row>
    <row r="303" spans="1:10">
      <c r="A303" s="16">
        <v>284</v>
      </c>
      <c r="B303" s="10">
        <f t="shared" si="20"/>
        <v>0</v>
      </c>
      <c r="C303" s="10">
        <f t="shared" si="21"/>
        <v>0</v>
      </c>
      <c r="D303" s="10">
        <f t="shared" si="22"/>
        <v>0</v>
      </c>
      <c r="E303" s="5">
        <f t="shared" si="23"/>
        <v>0</v>
      </c>
      <c r="F303" s="6"/>
      <c r="G303" s="6"/>
      <c r="H303" s="6"/>
      <c r="I303" s="6"/>
      <c r="J303" s="6"/>
    </row>
    <row r="304" spans="1:10">
      <c r="A304" s="16">
        <v>285</v>
      </c>
      <c r="B304" s="10">
        <f t="shared" si="20"/>
        <v>0</v>
      </c>
      <c r="C304" s="10">
        <f t="shared" si="21"/>
        <v>0</v>
      </c>
      <c r="D304" s="10">
        <f t="shared" si="22"/>
        <v>0</v>
      </c>
      <c r="E304" s="5">
        <f t="shared" si="23"/>
        <v>0</v>
      </c>
      <c r="F304" s="6"/>
      <c r="G304" s="6"/>
      <c r="H304" s="6"/>
      <c r="I304" s="6"/>
      <c r="J304" s="6"/>
    </row>
    <row r="305" spans="1:10">
      <c r="A305" s="16">
        <v>286</v>
      </c>
      <c r="B305" s="10">
        <f t="shared" si="20"/>
        <v>0</v>
      </c>
      <c r="C305" s="10">
        <f t="shared" si="21"/>
        <v>0</v>
      </c>
      <c r="D305" s="10">
        <f t="shared" si="22"/>
        <v>0</v>
      </c>
      <c r="E305" s="5">
        <f t="shared" si="23"/>
        <v>0</v>
      </c>
      <c r="F305" s="6"/>
      <c r="G305" s="6"/>
      <c r="H305" s="6"/>
      <c r="I305" s="6"/>
      <c r="J305" s="6"/>
    </row>
    <row r="306" spans="1:10">
      <c r="A306" s="16">
        <v>287</v>
      </c>
      <c r="B306" s="10">
        <f t="shared" si="20"/>
        <v>0</v>
      </c>
      <c r="C306" s="10">
        <f t="shared" si="21"/>
        <v>0</v>
      </c>
      <c r="D306" s="10">
        <f t="shared" si="22"/>
        <v>0</v>
      </c>
      <c r="E306" s="5">
        <f t="shared" si="23"/>
        <v>0</v>
      </c>
      <c r="F306" s="6"/>
      <c r="G306" s="6"/>
      <c r="H306" s="6"/>
      <c r="I306" s="6"/>
      <c r="J306" s="6"/>
    </row>
    <row r="307" spans="1:10">
      <c r="A307" s="16">
        <v>288</v>
      </c>
      <c r="B307" s="10">
        <f t="shared" si="20"/>
        <v>0</v>
      </c>
      <c r="C307" s="10">
        <f t="shared" si="21"/>
        <v>0</v>
      </c>
      <c r="D307" s="10">
        <f t="shared" si="22"/>
        <v>0</v>
      </c>
      <c r="E307" s="5">
        <f t="shared" si="23"/>
        <v>0</v>
      </c>
      <c r="F307" s="6"/>
      <c r="G307" s="6"/>
      <c r="H307" s="6"/>
      <c r="I307" s="6"/>
      <c r="J307" s="6"/>
    </row>
    <row r="308" spans="1:10">
      <c r="A308" s="16">
        <v>289</v>
      </c>
      <c r="B308" s="10">
        <f t="shared" si="20"/>
        <v>0</v>
      </c>
      <c r="C308" s="10">
        <f t="shared" si="21"/>
        <v>0</v>
      </c>
      <c r="D308" s="10">
        <f t="shared" si="22"/>
        <v>0</v>
      </c>
      <c r="E308" s="5">
        <f t="shared" si="23"/>
        <v>0</v>
      </c>
      <c r="F308" s="6"/>
      <c r="G308" s="6"/>
      <c r="H308" s="6"/>
      <c r="I308" s="6"/>
      <c r="J308" s="6"/>
    </row>
    <row r="309" spans="1:10">
      <c r="A309" s="16">
        <v>290</v>
      </c>
      <c r="B309" s="10">
        <f t="shared" si="20"/>
        <v>0</v>
      </c>
      <c r="C309" s="10">
        <f t="shared" si="21"/>
        <v>0</v>
      </c>
      <c r="D309" s="10">
        <f t="shared" si="22"/>
        <v>0</v>
      </c>
      <c r="E309" s="5">
        <f t="shared" si="23"/>
        <v>0</v>
      </c>
      <c r="F309" s="6"/>
      <c r="G309" s="6"/>
      <c r="H309" s="6"/>
      <c r="I309" s="6"/>
      <c r="J309" s="6"/>
    </row>
    <row r="310" spans="1:10">
      <c r="A310" s="16">
        <v>291</v>
      </c>
      <c r="B310" s="10">
        <f t="shared" si="20"/>
        <v>0</v>
      </c>
      <c r="C310" s="10">
        <f t="shared" si="21"/>
        <v>0</v>
      </c>
      <c r="D310" s="10">
        <f t="shared" si="22"/>
        <v>0</v>
      </c>
      <c r="E310" s="5">
        <f t="shared" si="23"/>
        <v>0</v>
      </c>
      <c r="F310" s="6"/>
      <c r="G310" s="6"/>
      <c r="H310" s="6"/>
      <c r="I310" s="6"/>
      <c r="J310" s="6"/>
    </row>
    <row r="311" spans="1:10">
      <c r="A311" s="16">
        <v>292</v>
      </c>
      <c r="B311" s="10">
        <f t="shared" si="20"/>
        <v>0</v>
      </c>
      <c r="C311" s="10">
        <f t="shared" si="21"/>
        <v>0</v>
      </c>
      <c r="D311" s="10">
        <f t="shared" si="22"/>
        <v>0</v>
      </c>
      <c r="E311" s="5">
        <f t="shared" si="23"/>
        <v>0</v>
      </c>
      <c r="F311" s="6"/>
      <c r="G311" s="6"/>
      <c r="H311" s="6"/>
      <c r="I311" s="6"/>
      <c r="J311" s="6"/>
    </row>
    <row r="312" spans="1:10">
      <c r="A312" s="16">
        <v>293</v>
      </c>
      <c r="B312" s="10">
        <f t="shared" si="20"/>
        <v>0</v>
      </c>
      <c r="C312" s="10">
        <f t="shared" si="21"/>
        <v>0</v>
      </c>
      <c r="D312" s="10">
        <f t="shared" si="22"/>
        <v>0</v>
      </c>
      <c r="E312" s="5">
        <f t="shared" si="23"/>
        <v>0</v>
      </c>
      <c r="F312" s="6"/>
      <c r="G312" s="6"/>
      <c r="H312" s="6"/>
      <c r="I312" s="6"/>
      <c r="J312" s="6"/>
    </row>
    <row r="313" spans="1:10">
      <c r="A313" s="16">
        <v>294</v>
      </c>
      <c r="B313" s="10">
        <f t="shared" si="20"/>
        <v>0</v>
      </c>
      <c r="C313" s="10">
        <f t="shared" si="21"/>
        <v>0</v>
      </c>
      <c r="D313" s="10">
        <f t="shared" si="22"/>
        <v>0</v>
      </c>
      <c r="E313" s="5">
        <f t="shared" si="23"/>
        <v>0</v>
      </c>
      <c r="F313" s="6"/>
      <c r="G313" s="6"/>
      <c r="H313" s="6"/>
      <c r="I313" s="6"/>
      <c r="J313" s="6"/>
    </row>
    <row r="314" spans="1:10">
      <c r="A314" s="16">
        <v>295</v>
      </c>
      <c r="B314" s="10">
        <f t="shared" si="20"/>
        <v>0</v>
      </c>
      <c r="C314" s="10">
        <f t="shared" si="21"/>
        <v>0</v>
      </c>
      <c r="D314" s="10">
        <f t="shared" si="22"/>
        <v>0</v>
      </c>
      <c r="E314" s="5">
        <f t="shared" si="23"/>
        <v>0</v>
      </c>
      <c r="F314" s="6"/>
      <c r="G314" s="6"/>
      <c r="H314" s="6"/>
      <c r="I314" s="6"/>
      <c r="J314" s="6"/>
    </row>
    <row r="315" spans="1:10">
      <c r="A315" s="16">
        <v>296</v>
      </c>
      <c r="B315" s="10">
        <f t="shared" si="20"/>
        <v>0</v>
      </c>
      <c r="C315" s="10">
        <f t="shared" si="21"/>
        <v>0</v>
      </c>
      <c r="D315" s="10">
        <f t="shared" si="22"/>
        <v>0</v>
      </c>
      <c r="E315" s="5">
        <f t="shared" si="23"/>
        <v>0</v>
      </c>
      <c r="F315" s="6"/>
      <c r="G315" s="6"/>
      <c r="H315" s="6"/>
      <c r="I315" s="6"/>
      <c r="J315" s="6"/>
    </row>
    <row r="316" spans="1:10">
      <c r="A316" s="16">
        <v>297</v>
      </c>
      <c r="B316" s="10">
        <f t="shared" si="20"/>
        <v>0</v>
      </c>
      <c r="C316" s="10">
        <f t="shared" si="21"/>
        <v>0</v>
      </c>
      <c r="D316" s="10">
        <f t="shared" si="22"/>
        <v>0</v>
      </c>
      <c r="E316" s="5">
        <f t="shared" si="23"/>
        <v>0</v>
      </c>
      <c r="F316" s="6"/>
      <c r="G316" s="6"/>
      <c r="H316" s="6"/>
      <c r="I316" s="6"/>
      <c r="J316" s="6"/>
    </row>
    <row r="317" spans="1:10">
      <c r="A317" s="16">
        <v>298</v>
      </c>
      <c r="B317" s="10">
        <f t="shared" si="20"/>
        <v>0</v>
      </c>
      <c r="C317" s="10">
        <f t="shared" si="21"/>
        <v>0</v>
      </c>
      <c r="D317" s="10">
        <f t="shared" si="22"/>
        <v>0</v>
      </c>
      <c r="E317" s="5">
        <f t="shared" si="23"/>
        <v>0</v>
      </c>
      <c r="F317" s="6"/>
      <c r="G317" s="6"/>
      <c r="H317" s="6"/>
      <c r="I317" s="6"/>
      <c r="J317" s="6"/>
    </row>
    <row r="318" spans="1:10">
      <c r="A318" s="16">
        <v>299</v>
      </c>
      <c r="B318" s="10">
        <f t="shared" si="20"/>
        <v>0</v>
      </c>
      <c r="C318" s="10">
        <f t="shared" si="21"/>
        <v>0</v>
      </c>
      <c r="D318" s="10">
        <f t="shared" si="22"/>
        <v>0</v>
      </c>
      <c r="E318" s="5">
        <f t="shared" si="23"/>
        <v>0</v>
      </c>
      <c r="F318" s="6"/>
      <c r="G318" s="6"/>
      <c r="H318" s="6"/>
      <c r="I318" s="6"/>
      <c r="J318" s="6"/>
    </row>
    <row r="319" spans="1:10">
      <c r="A319" s="16">
        <v>300</v>
      </c>
      <c r="B319" s="10">
        <f t="shared" si="20"/>
        <v>0</v>
      </c>
      <c r="C319" s="10">
        <f t="shared" si="21"/>
        <v>0</v>
      </c>
      <c r="D319" s="10">
        <f t="shared" si="22"/>
        <v>0</v>
      </c>
      <c r="E319" s="5">
        <f t="shared" si="23"/>
        <v>0</v>
      </c>
      <c r="F319" s="6"/>
      <c r="G319" s="6"/>
      <c r="H319" s="6"/>
      <c r="I319" s="6"/>
      <c r="J319" s="6"/>
    </row>
    <row r="320" spans="1:10">
      <c r="A320" s="16">
        <v>301</v>
      </c>
      <c r="B320" s="10">
        <f t="shared" si="20"/>
        <v>0</v>
      </c>
      <c r="C320" s="10">
        <f t="shared" si="21"/>
        <v>0</v>
      </c>
      <c r="D320" s="10">
        <f t="shared" si="22"/>
        <v>0</v>
      </c>
      <c r="E320" s="5">
        <f t="shared" si="23"/>
        <v>0</v>
      </c>
      <c r="F320" s="6"/>
      <c r="G320" s="6"/>
      <c r="H320" s="6"/>
      <c r="I320" s="6"/>
      <c r="J320" s="6"/>
    </row>
    <row r="321" spans="1:10">
      <c r="A321" s="16">
        <v>302</v>
      </c>
      <c r="B321" s="10">
        <f t="shared" si="20"/>
        <v>0</v>
      </c>
      <c r="C321" s="10">
        <f t="shared" si="21"/>
        <v>0</v>
      </c>
      <c r="D321" s="10">
        <f t="shared" si="22"/>
        <v>0</v>
      </c>
      <c r="E321" s="5">
        <f t="shared" si="23"/>
        <v>0</v>
      </c>
      <c r="F321" s="6"/>
      <c r="G321" s="6"/>
      <c r="H321" s="6"/>
      <c r="I321" s="6"/>
      <c r="J321" s="6"/>
    </row>
    <row r="322" spans="1:10">
      <c r="A322" s="16">
        <v>303</v>
      </c>
      <c r="B322" s="10">
        <f t="shared" si="20"/>
        <v>0</v>
      </c>
      <c r="C322" s="10">
        <f t="shared" si="21"/>
        <v>0</v>
      </c>
      <c r="D322" s="10">
        <f t="shared" si="22"/>
        <v>0</v>
      </c>
      <c r="E322" s="5">
        <f t="shared" si="23"/>
        <v>0</v>
      </c>
      <c r="F322" s="6"/>
      <c r="G322" s="6"/>
      <c r="H322" s="6"/>
      <c r="I322" s="6"/>
      <c r="J322" s="6"/>
    </row>
    <row r="323" spans="1:10">
      <c r="A323" s="16">
        <v>304</v>
      </c>
      <c r="B323" s="10">
        <f t="shared" si="20"/>
        <v>0</v>
      </c>
      <c r="C323" s="10">
        <f t="shared" si="21"/>
        <v>0</v>
      </c>
      <c r="D323" s="10">
        <f t="shared" si="22"/>
        <v>0</v>
      </c>
      <c r="E323" s="5">
        <f t="shared" si="23"/>
        <v>0</v>
      </c>
      <c r="F323" s="6"/>
      <c r="G323" s="6"/>
      <c r="H323" s="6"/>
      <c r="I323" s="6"/>
      <c r="J323" s="6"/>
    </row>
    <row r="324" spans="1:10">
      <c r="A324" s="16">
        <v>305</v>
      </c>
      <c r="B324" s="10">
        <f t="shared" si="20"/>
        <v>0</v>
      </c>
      <c r="C324" s="10">
        <f t="shared" si="21"/>
        <v>0</v>
      </c>
      <c r="D324" s="10">
        <f t="shared" si="22"/>
        <v>0</v>
      </c>
      <c r="E324" s="5">
        <f t="shared" si="23"/>
        <v>0</v>
      </c>
      <c r="F324" s="6"/>
      <c r="G324" s="6"/>
      <c r="H324" s="6"/>
      <c r="I324" s="6"/>
      <c r="J324" s="6"/>
    </row>
    <row r="325" spans="1:10">
      <c r="A325" s="16">
        <v>306</v>
      </c>
      <c r="B325" s="10">
        <f t="shared" si="20"/>
        <v>0</v>
      </c>
      <c r="C325" s="10">
        <f t="shared" si="21"/>
        <v>0</v>
      </c>
      <c r="D325" s="10">
        <f t="shared" si="22"/>
        <v>0</v>
      </c>
      <c r="E325" s="5">
        <f t="shared" si="23"/>
        <v>0</v>
      </c>
      <c r="F325" s="6"/>
      <c r="G325" s="6"/>
      <c r="H325" s="6"/>
      <c r="I325" s="6"/>
      <c r="J325" s="6"/>
    </row>
    <row r="326" spans="1:10">
      <c r="A326" s="16">
        <v>307</v>
      </c>
      <c r="B326" s="10">
        <f t="shared" si="20"/>
        <v>0</v>
      </c>
      <c r="C326" s="10">
        <f t="shared" si="21"/>
        <v>0</v>
      </c>
      <c r="D326" s="10">
        <f t="shared" si="22"/>
        <v>0</v>
      </c>
      <c r="E326" s="5">
        <f t="shared" si="23"/>
        <v>0</v>
      </c>
      <c r="F326" s="6"/>
      <c r="G326" s="6"/>
      <c r="H326" s="6"/>
      <c r="I326" s="6"/>
      <c r="J326" s="6"/>
    </row>
    <row r="327" spans="1:10">
      <c r="A327" s="16">
        <v>308</v>
      </c>
      <c r="B327" s="10">
        <f t="shared" si="20"/>
        <v>0</v>
      </c>
      <c r="C327" s="10">
        <f t="shared" si="21"/>
        <v>0</v>
      </c>
      <c r="D327" s="10">
        <f t="shared" si="22"/>
        <v>0</v>
      </c>
      <c r="E327" s="5">
        <f t="shared" si="23"/>
        <v>0</v>
      </c>
      <c r="F327" s="6"/>
      <c r="G327" s="6"/>
      <c r="H327" s="6"/>
      <c r="I327" s="6"/>
      <c r="J327" s="6"/>
    </row>
    <row r="328" spans="1:10">
      <c r="A328" s="16">
        <v>309</v>
      </c>
      <c r="B328" s="10">
        <f t="shared" si="20"/>
        <v>0</v>
      </c>
      <c r="C328" s="10">
        <f t="shared" si="21"/>
        <v>0</v>
      </c>
      <c r="D328" s="10">
        <f t="shared" si="22"/>
        <v>0</v>
      </c>
      <c r="E328" s="5">
        <f t="shared" si="23"/>
        <v>0</v>
      </c>
      <c r="F328" s="6"/>
      <c r="G328" s="6"/>
      <c r="H328" s="6"/>
      <c r="I328" s="6"/>
      <c r="J328" s="6"/>
    </row>
    <row r="329" spans="1:10">
      <c r="A329" s="16">
        <v>310</v>
      </c>
      <c r="B329" s="10">
        <f t="shared" si="20"/>
        <v>0</v>
      </c>
      <c r="C329" s="10">
        <f t="shared" si="21"/>
        <v>0</v>
      </c>
      <c r="D329" s="10">
        <f t="shared" si="22"/>
        <v>0</v>
      </c>
      <c r="E329" s="5">
        <f t="shared" si="23"/>
        <v>0</v>
      </c>
      <c r="F329" s="6"/>
      <c r="G329" s="6"/>
      <c r="H329" s="6"/>
      <c r="I329" s="6"/>
      <c r="J329" s="6"/>
    </row>
    <row r="330" spans="1:10">
      <c r="A330" s="16">
        <v>311</v>
      </c>
      <c r="B330" s="10">
        <f t="shared" si="20"/>
        <v>0</v>
      </c>
      <c r="C330" s="10">
        <f t="shared" si="21"/>
        <v>0</v>
      </c>
      <c r="D330" s="10">
        <f t="shared" si="22"/>
        <v>0</v>
      </c>
      <c r="E330" s="5">
        <f t="shared" si="23"/>
        <v>0</v>
      </c>
      <c r="F330" s="6"/>
      <c r="G330" s="6"/>
      <c r="H330" s="6"/>
      <c r="I330" s="6"/>
      <c r="J330" s="6"/>
    </row>
    <row r="331" spans="1:10">
      <c r="A331" s="16">
        <v>312</v>
      </c>
      <c r="B331" s="10">
        <f t="shared" si="20"/>
        <v>0</v>
      </c>
      <c r="C331" s="10">
        <f t="shared" si="21"/>
        <v>0</v>
      </c>
      <c r="D331" s="10">
        <f t="shared" si="22"/>
        <v>0</v>
      </c>
      <c r="E331" s="5">
        <f t="shared" si="23"/>
        <v>0</v>
      </c>
      <c r="F331" s="6"/>
      <c r="G331" s="6"/>
      <c r="H331" s="6"/>
      <c r="I331" s="6"/>
      <c r="J331" s="6"/>
    </row>
    <row r="332" spans="1:10">
      <c r="A332" s="16">
        <v>313</v>
      </c>
      <c r="B332" s="10">
        <f t="shared" si="20"/>
        <v>0</v>
      </c>
      <c r="C332" s="10">
        <f t="shared" si="21"/>
        <v>0</v>
      </c>
      <c r="D332" s="10">
        <f t="shared" si="22"/>
        <v>0</v>
      </c>
      <c r="E332" s="5">
        <f t="shared" si="23"/>
        <v>0</v>
      </c>
      <c r="F332" s="6"/>
      <c r="G332" s="6"/>
      <c r="H332" s="6"/>
      <c r="I332" s="6"/>
      <c r="J332" s="6"/>
    </row>
    <row r="333" spans="1:10">
      <c r="A333" s="16">
        <v>314</v>
      </c>
      <c r="B333" s="10">
        <f t="shared" si="20"/>
        <v>0</v>
      </c>
      <c r="C333" s="10">
        <f t="shared" si="21"/>
        <v>0</v>
      </c>
      <c r="D333" s="10">
        <f t="shared" si="22"/>
        <v>0</v>
      </c>
      <c r="E333" s="5">
        <f t="shared" si="23"/>
        <v>0</v>
      </c>
      <c r="F333" s="6"/>
      <c r="G333" s="6"/>
      <c r="H333" s="6"/>
      <c r="I333" s="6"/>
      <c r="J333" s="6"/>
    </row>
    <row r="334" spans="1:10">
      <c r="A334" s="16">
        <v>315</v>
      </c>
      <c r="B334" s="10">
        <f t="shared" si="20"/>
        <v>0</v>
      </c>
      <c r="C334" s="10">
        <f t="shared" si="21"/>
        <v>0</v>
      </c>
      <c r="D334" s="10">
        <f t="shared" si="22"/>
        <v>0</v>
      </c>
      <c r="E334" s="5">
        <f t="shared" si="23"/>
        <v>0</v>
      </c>
      <c r="F334" s="6"/>
      <c r="G334" s="6"/>
      <c r="H334" s="6"/>
      <c r="I334" s="6"/>
      <c r="J334" s="6"/>
    </row>
    <row r="335" spans="1:10">
      <c r="A335" s="16">
        <v>316</v>
      </c>
      <c r="B335" s="10">
        <f t="shared" si="20"/>
        <v>0</v>
      </c>
      <c r="C335" s="10">
        <f t="shared" si="21"/>
        <v>0</v>
      </c>
      <c r="D335" s="10">
        <f t="shared" si="22"/>
        <v>0</v>
      </c>
      <c r="E335" s="5">
        <f t="shared" si="23"/>
        <v>0</v>
      </c>
      <c r="F335" s="6"/>
      <c r="G335" s="6"/>
      <c r="H335" s="6"/>
      <c r="I335" s="6"/>
      <c r="J335" s="6"/>
    </row>
    <row r="336" spans="1:10">
      <c r="A336" s="16">
        <v>317</v>
      </c>
      <c r="B336" s="10">
        <f t="shared" si="20"/>
        <v>0</v>
      </c>
      <c r="C336" s="10">
        <f t="shared" si="21"/>
        <v>0</v>
      </c>
      <c r="D336" s="10">
        <f t="shared" si="22"/>
        <v>0</v>
      </c>
      <c r="E336" s="5">
        <f t="shared" si="23"/>
        <v>0</v>
      </c>
      <c r="F336" s="6"/>
      <c r="G336" s="6"/>
      <c r="H336" s="6"/>
      <c r="I336" s="6"/>
      <c r="J336" s="6"/>
    </row>
    <row r="337" spans="1:10">
      <c r="A337" s="16">
        <v>318</v>
      </c>
      <c r="B337" s="10">
        <f t="shared" si="20"/>
        <v>0</v>
      </c>
      <c r="C337" s="10">
        <f t="shared" si="21"/>
        <v>0</v>
      </c>
      <c r="D337" s="10">
        <f t="shared" si="22"/>
        <v>0</v>
      </c>
      <c r="E337" s="5">
        <f t="shared" si="23"/>
        <v>0</v>
      </c>
      <c r="F337" s="6"/>
      <c r="G337" s="6"/>
      <c r="H337" s="6"/>
      <c r="I337" s="6"/>
      <c r="J337" s="6"/>
    </row>
    <row r="338" spans="1:10">
      <c r="A338" s="16">
        <v>319</v>
      </c>
      <c r="B338" s="10">
        <f t="shared" si="20"/>
        <v>0</v>
      </c>
      <c r="C338" s="10">
        <f t="shared" si="21"/>
        <v>0</v>
      </c>
      <c r="D338" s="10">
        <f t="shared" si="22"/>
        <v>0</v>
      </c>
      <c r="E338" s="5">
        <f t="shared" si="23"/>
        <v>0</v>
      </c>
      <c r="F338" s="6"/>
      <c r="G338" s="6"/>
      <c r="H338" s="6"/>
      <c r="I338" s="6"/>
      <c r="J338" s="6"/>
    </row>
    <row r="339" spans="1:10">
      <c r="A339" s="16">
        <v>320</v>
      </c>
      <c r="B339" s="10">
        <f t="shared" si="20"/>
        <v>0</v>
      </c>
      <c r="C339" s="10">
        <f t="shared" si="21"/>
        <v>0</v>
      </c>
      <c r="D339" s="10">
        <f t="shared" si="22"/>
        <v>0</v>
      </c>
      <c r="E339" s="5">
        <f t="shared" si="23"/>
        <v>0</v>
      </c>
      <c r="F339" s="6"/>
      <c r="G339" s="6"/>
      <c r="H339" s="6"/>
      <c r="I339" s="6"/>
      <c r="J339" s="6"/>
    </row>
    <row r="340" spans="1:10">
      <c r="A340" s="16">
        <v>321</v>
      </c>
      <c r="B340" s="10">
        <f t="shared" ref="B340:B379" si="24">IF(A340&lt;=$D$5*12,B339-D340,0)</f>
        <v>0</v>
      </c>
      <c r="C340" s="10">
        <f t="shared" ref="C340:C379" si="25">IF(A340&lt;=$D$5*12,B339*$D$6/12,0)</f>
        <v>0</v>
      </c>
      <c r="D340" s="10">
        <f t="shared" si="22"/>
        <v>0</v>
      </c>
      <c r="E340" s="5">
        <f t="shared" si="23"/>
        <v>0</v>
      </c>
      <c r="F340" s="6"/>
      <c r="G340" s="6"/>
      <c r="H340" s="6"/>
      <c r="I340" s="6"/>
      <c r="J340" s="6"/>
    </row>
    <row r="341" spans="1:10">
      <c r="A341" s="16">
        <v>322</v>
      </c>
      <c r="B341" s="10">
        <f t="shared" si="24"/>
        <v>0</v>
      </c>
      <c r="C341" s="10">
        <f t="shared" si="25"/>
        <v>0</v>
      </c>
      <c r="D341" s="10">
        <f t="shared" ref="D341:D379" si="26">IF($D$3="Annuitätendarlehen",IF(A341&lt;=$D$5*12,E341-C341,0),IF($D$3="Ratendarlehen",IF(AND(A341&lt;=$D$5*12,A341&gt;$D$7),$D$4/($D$5*12-$D$7),0),IF($D$3="Restwertdarlehen",IF(A341=$D$5*12,$D$4,0),0)))</f>
        <v>0</v>
      </c>
      <c r="E341" s="5">
        <f t="shared" ref="E341:E379" si="27">IF($D$3="Annuitätendarlehen",IF(AND(A341&lt;=$D$5*12,A341&gt;$D$7),PMT($D$6/12,$D$5*12-$D$7,-$D$4,$D$8,0),IF(A341&lt;=$D$7,C341,0)),IF($D$3="Ratendarlehen",IF(AND(A341&lt;=$D$5*12,A341&gt;$D$7),$D$4/($D$5*12-$D$7)+C341,IF(A341&lt;=$D$7,C341,0)),IF(AND($D$3="Restwertdarlehen",A341&lt;=$D$5*12),C341+D341,0)))</f>
        <v>0</v>
      </c>
      <c r="F341" s="6"/>
      <c r="G341" s="6"/>
      <c r="H341" s="6"/>
      <c r="I341" s="6"/>
      <c r="J341" s="6"/>
    </row>
    <row r="342" spans="1:10">
      <c r="A342" s="16">
        <v>323</v>
      </c>
      <c r="B342" s="10">
        <f t="shared" si="24"/>
        <v>0</v>
      </c>
      <c r="C342" s="10">
        <f t="shared" si="25"/>
        <v>0</v>
      </c>
      <c r="D342" s="10">
        <f t="shared" si="26"/>
        <v>0</v>
      </c>
      <c r="E342" s="5">
        <f t="shared" si="27"/>
        <v>0</v>
      </c>
      <c r="F342" s="6"/>
      <c r="G342" s="6"/>
      <c r="H342" s="6"/>
      <c r="I342" s="6"/>
      <c r="J342" s="6"/>
    </row>
    <row r="343" spans="1:10">
      <c r="A343" s="16">
        <v>324</v>
      </c>
      <c r="B343" s="10">
        <f t="shared" si="24"/>
        <v>0</v>
      </c>
      <c r="C343" s="10">
        <f t="shared" si="25"/>
        <v>0</v>
      </c>
      <c r="D343" s="10">
        <f t="shared" si="26"/>
        <v>0</v>
      </c>
      <c r="E343" s="5">
        <f t="shared" si="27"/>
        <v>0</v>
      </c>
      <c r="F343" s="6"/>
      <c r="G343" s="6"/>
      <c r="H343" s="6"/>
      <c r="I343" s="6"/>
      <c r="J343" s="6"/>
    </row>
    <row r="344" spans="1:10">
      <c r="A344" s="16">
        <v>325</v>
      </c>
      <c r="B344" s="10">
        <f t="shared" si="24"/>
        <v>0</v>
      </c>
      <c r="C344" s="10">
        <f t="shared" si="25"/>
        <v>0</v>
      </c>
      <c r="D344" s="10">
        <f t="shared" si="26"/>
        <v>0</v>
      </c>
      <c r="E344" s="5">
        <f t="shared" si="27"/>
        <v>0</v>
      </c>
      <c r="F344" s="6"/>
      <c r="G344" s="6"/>
      <c r="H344" s="6"/>
      <c r="I344" s="6"/>
      <c r="J344" s="6"/>
    </row>
    <row r="345" spans="1:10">
      <c r="A345" s="16">
        <v>326</v>
      </c>
      <c r="B345" s="10">
        <f t="shared" si="24"/>
        <v>0</v>
      </c>
      <c r="C345" s="10">
        <f t="shared" si="25"/>
        <v>0</v>
      </c>
      <c r="D345" s="10">
        <f t="shared" si="26"/>
        <v>0</v>
      </c>
      <c r="E345" s="5">
        <f t="shared" si="27"/>
        <v>0</v>
      </c>
      <c r="F345" s="6"/>
      <c r="G345" s="6"/>
      <c r="H345" s="6"/>
      <c r="I345" s="6"/>
      <c r="J345" s="6"/>
    </row>
    <row r="346" spans="1:10">
      <c r="A346" s="16">
        <v>327</v>
      </c>
      <c r="B346" s="10">
        <f t="shared" si="24"/>
        <v>0</v>
      </c>
      <c r="C346" s="10">
        <f t="shared" si="25"/>
        <v>0</v>
      </c>
      <c r="D346" s="10">
        <f t="shared" si="26"/>
        <v>0</v>
      </c>
      <c r="E346" s="5">
        <f t="shared" si="27"/>
        <v>0</v>
      </c>
      <c r="F346" s="6"/>
      <c r="G346" s="6"/>
      <c r="H346" s="6"/>
      <c r="I346" s="6"/>
      <c r="J346" s="6"/>
    </row>
    <row r="347" spans="1:10">
      <c r="A347" s="16">
        <v>328</v>
      </c>
      <c r="B347" s="10">
        <f t="shared" si="24"/>
        <v>0</v>
      </c>
      <c r="C347" s="10">
        <f t="shared" si="25"/>
        <v>0</v>
      </c>
      <c r="D347" s="10">
        <f t="shared" si="26"/>
        <v>0</v>
      </c>
      <c r="E347" s="5">
        <f t="shared" si="27"/>
        <v>0</v>
      </c>
      <c r="F347" s="6"/>
      <c r="G347" s="6"/>
      <c r="H347" s="6"/>
      <c r="I347" s="6"/>
      <c r="J347" s="6"/>
    </row>
    <row r="348" spans="1:10">
      <c r="A348" s="16">
        <v>329</v>
      </c>
      <c r="B348" s="10">
        <f t="shared" si="24"/>
        <v>0</v>
      </c>
      <c r="C348" s="10">
        <f t="shared" si="25"/>
        <v>0</v>
      </c>
      <c r="D348" s="10">
        <f t="shared" si="26"/>
        <v>0</v>
      </c>
      <c r="E348" s="5">
        <f t="shared" si="27"/>
        <v>0</v>
      </c>
      <c r="F348" s="6"/>
      <c r="G348" s="6"/>
      <c r="H348" s="6"/>
      <c r="I348" s="6"/>
      <c r="J348" s="6"/>
    </row>
    <row r="349" spans="1:10">
      <c r="A349" s="16">
        <v>330</v>
      </c>
      <c r="B349" s="10">
        <f t="shared" si="24"/>
        <v>0</v>
      </c>
      <c r="C349" s="10">
        <f t="shared" si="25"/>
        <v>0</v>
      </c>
      <c r="D349" s="10">
        <f t="shared" si="26"/>
        <v>0</v>
      </c>
      <c r="E349" s="5">
        <f t="shared" si="27"/>
        <v>0</v>
      </c>
      <c r="F349" s="6"/>
      <c r="G349" s="6"/>
      <c r="H349" s="6"/>
      <c r="I349" s="6"/>
      <c r="J349" s="6"/>
    </row>
    <row r="350" spans="1:10">
      <c r="A350" s="16">
        <v>331</v>
      </c>
      <c r="B350" s="10">
        <f t="shared" si="24"/>
        <v>0</v>
      </c>
      <c r="C350" s="10">
        <f t="shared" si="25"/>
        <v>0</v>
      </c>
      <c r="D350" s="10">
        <f t="shared" si="26"/>
        <v>0</v>
      </c>
      <c r="E350" s="5">
        <f t="shared" si="27"/>
        <v>0</v>
      </c>
      <c r="F350" s="6"/>
      <c r="G350" s="6"/>
      <c r="H350" s="6"/>
      <c r="I350" s="6"/>
      <c r="J350" s="6"/>
    </row>
    <row r="351" spans="1:10">
      <c r="A351" s="16">
        <v>332</v>
      </c>
      <c r="B351" s="10">
        <f t="shared" si="24"/>
        <v>0</v>
      </c>
      <c r="C351" s="10">
        <f t="shared" si="25"/>
        <v>0</v>
      </c>
      <c r="D351" s="10">
        <f t="shared" si="26"/>
        <v>0</v>
      </c>
      <c r="E351" s="5">
        <f t="shared" si="27"/>
        <v>0</v>
      </c>
      <c r="F351" s="6"/>
      <c r="G351" s="6"/>
      <c r="H351" s="6"/>
      <c r="I351" s="6"/>
      <c r="J351" s="6"/>
    </row>
    <row r="352" spans="1:10">
      <c r="A352" s="16">
        <v>333</v>
      </c>
      <c r="B352" s="10">
        <f t="shared" si="24"/>
        <v>0</v>
      </c>
      <c r="C352" s="10">
        <f t="shared" si="25"/>
        <v>0</v>
      </c>
      <c r="D352" s="10">
        <f t="shared" si="26"/>
        <v>0</v>
      </c>
      <c r="E352" s="5">
        <f t="shared" si="27"/>
        <v>0</v>
      </c>
      <c r="F352" s="6"/>
      <c r="G352" s="6"/>
      <c r="H352" s="6"/>
      <c r="I352" s="6"/>
      <c r="J352" s="6"/>
    </row>
    <row r="353" spans="1:10">
      <c r="A353" s="16">
        <v>334</v>
      </c>
      <c r="B353" s="10">
        <f t="shared" si="24"/>
        <v>0</v>
      </c>
      <c r="C353" s="10">
        <f t="shared" si="25"/>
        <v>0</v>
      </c>
      <c r="D353" s="10">
        <f t="shared" si="26"/>
        <v>0</v>
      </c>
      <c r="E353" s="5">
        <f t="shared" si="27"/>
        <v>0</v>
      </c>
      <c r="F353" s="6"/>
      <c r="G353" s="6"/>
      <c r="H353" s="6"/>
      <c r="I353" s="6"/>
      <c r="J353" s="6"/>
    </row>
    <row r="354" spans="1:10">
      <c r="A354" s="16">
        <v>335</v>
      </c>
      <c r="B354" s="10">
        <f t="shared" si="24"/>
        <v>0</v>
      </c>
      <c r="C354" s="10">
        <f t="shared" si="25"/>
        <v>0</v>
      </c>
      <c r="D354" s="10">
        <f t="shared" si="26"/>
        <v>0</v>
      </c>
      <c r="E354" s="5">
        <f t="shared" si="27"/>
        <v>0</v>
      </c>
      <c r="F354" s="6"/>
      <c r="G354" s="6"/>
      <c r="H354" s="6"/>
      <c r="I354" s="6"/>
      <c r="J354" s="6"/>
    </row>
    <row r="355" spans="1:10">
      <c r="A355" s="16">
        <v>336</v>
      </c>
      <c r="B355" s="10">
        <f t="shared" si="24"/>
        <v>0</v>
      </c>
      <c r="C355" s="10">
        <f t="shared" si="25"/>
        <v>0</v>
      </c>
      <c r="D355" s="10">
        <f t="shared" si="26"/>
        <v>0</v>
      </c>
      <c r="E355" s="5">
        <f t="shared" si="27"/>
        <v>0</v>
      </c>
      <c r="F355" s="6"/>
      <c r="G355" s="6"/>
      <c r="H355" s="6"/>
      <c r="I355" s="6"/>
      <c r="J355" s="6"/>
    </row>
    <row r="356" spans="1:10">
      <c r="A356" s="16">
        <v>337</v>
      </c>
      <c r="B356" s="10">
        <f t="shared" si="24"/>
        <v>0</v>
      </c>
      <c r="C356" s="10">
        <f t="shared" si="25"/>
        <v>0</v>
      </c>
      <c r="D356" s="10">
        <f t="shared" si="26"/>
        <v>0</v>
      </c>
      <c r="E356" s="5">
        <f t="shared" si="27"/>
        <v>0</v>
      </c>
      <c r="F356" s="6"/>
      <c r="G356" s="6"/>
      <c r="H356" s="6"/>
      <c r="I356" s="6"/>
      <c r="J356" s="6"/>
    </row>
    <row r="357" spans="1:10">
      <c r="A357" s="16">
        <v>338</v>
      </c>
      <c r="B357" s="10">
        <f t="shared" si="24"/>
        <v>0</v>
      </c>
      <c r="C357" s="10">
        <f t="shared" si="25"/>
        <v>0</v>
      </c>
      <c r="D357" s="10">
        <f t="shared" si="26"/>
        <v>0</v>
      </c>
      <c r="E357" s="5">
        <f t="shared" si="27"/>
        <v>0</v>
      </c>
      <c r="F357" s="6"/>
      <c r="G357" s="6"/>
      <c r="H357" s="6"/>
      <c r="I357" s="6"/>
      <c r="J357" s="6"/>
    </row>
    <row r="358" spans="1:10">
      <c r="A358" s="16">
        <v>339</v>
      </c>
      <c r="B358" s="10">
        <f t="shared" si="24"/>
        <v>0</v>
      </c>
      <c r="C358" s="10">
        <f t="shared" si="25"/>
        <v>0</v>
      </c>
      <c r="D358" s="10">
        <f t="shared" si="26"/>
        <v>0</v>
      </c>
      <c r="E358" s="5">
        <f t="shared" si="27"/>
        <v>0</v>
      </c>
      <c r="F358" s="6"/>
      <c r="G358" s="6"/>
      <c r="H358" s="6"/>
      <c r="I358" s="6"/>
      <c r="J358" s="6"/>
    </row>
    <row r="359" spans="1:10">
      <c r="A359" s="16">
        <v>340</v>
      </c>
      <c r="B359" s="10">
        <f t="shared" si="24"/>
        <v>0</v>
      </c>
      <c r="C359" s="10">
        <f t="shared" si="25"/>
        <v>0</v>
      </c>
      <c r="D359" s="10">
        <f t="shared" si="26"/>
        <v>0</v>
      </c>
      <c r="E359" s="5">
        <f t="shared" si="27"/>
        <v>0</v>
      </c>
      <c r="F359" s="6"/>
      <c r="G359" s="6"/>
      <c r="H359" s="6"/>
      <c r="I359" s="6"/>
      <c r="J359" s="6"/>
    </row>
    <row r="360" spans="1:10">
      <c r="A360" s="16">
        <v>341</v>
      </c>
      <c r="B360" s="10">
        <f t="shared" si="24"/>
        <v>0</v>
      </c>
      <c r="C360" s="10">
        <f t="shared" si="25"/>
        <v>0</v>
      </c>
      <c r="D360" s="10">
        <f t="shared" si="26"/>
        <v>0</v>
      </c>
      <c r="E360" s="5">
        <f t="shared" si="27"/>
        <v>0</v>
      </c>
      <c r="F360" s="6"/>
      <c r="G360" s="6"/>
      <c r="H360" s="6"/>
      <c r="I360" s="6"/>
      <c r="J360" s="6"/>
    </row>
    <row r="361" spans="1:10">
      <c r="A361" s="16">
        <v>342</v>
      </c>
      <c r="B361" s="10">
        <f t="shared" si="24"/>
        <v>0</v>
      </c>
      <c r="C361" s="10">
        <f t="shared" si="25"/>
        <v>0</v>
      </c>
      <c r="D361" s="10">
        <f t="shared" si="26"/>
        <v>0</v>
      </c>
      <c r="E361" s="5">
        <f t="shared" si="27"/>
        <v>0</v>
      </c>
      <c r="F361" s="6"/>
      <c r="G361" s="6"/>
      <c r="H361" s="6"/>
      <c r="I361" s="6"/>
      <c r="J361" s="6"/>
    </row>
    <row r="362" spans="1:10">
      <c r="A362" s="16">
        <v>343</v>
      </c>
      <c r="B362" s="10">
        <f t="shared" si="24"/>
        <v>0</v>
      </c>
      <c r="C362" s="10">
        <f t="shared" si="25"/>
        <v>0</v>
      </c>
      <c r="D362" s="10">
        <f t="shared" si="26"/>
        <v>0</v>
      </c>
      <c r="E362" s="5">
        <f t="shared" si="27"/>
        <v>0</v>
      </c>
      <c r="F362" s="6"/>
      <c r="G362" s="6"/>
      <c r="H362" s="6"/>
      <c r="I362" s="6"/>
      <c r="J362" s="6"/>
    </row>
    <row r="363" spans="1:10">
      <c r="A363" s="16">
        <v>344</v>
      </c>
      <c r="B363" s="10">
        <f t="shared" si="24"/>
        <v>0</v>
      </c>
      <c r="C363" s="10">
        <f t="shared" si="25"/>
        <v>0</v>
      </c>
      <c r="D363" s="10">
        <f t="shared" si="26"/>
        <v>0</v>
      </c>
      <c r="E363" s="5">
        <f t="shared" si="27"/>
        <v>0</v>
      </c>
      <c r="F363" s="6"/>
      <c r="G363" s="6"/>
      <c r="H363" s="6"/>
      <c r="I363" s="6"/>
      <c r="J363" s="6"/>
    </row>
    <row r="364" spans="1:10">
      <c r="A364" s="16">
        <v>345</v>
      </c>
      <c r="B364" s="10">
        <f t="shared" si="24"/>
        <v>0</v>
      </c>
      <c r="C364" s="10">
        <f t="shared" si="25"/>
        <v>0</v>
      </c>
      <c r="D364" s="10">
        <f t="shared" si="26"/>
        <v>0</v>
      </c>
      <c r="E364" s="5">
        <f t="shared" si="27"/>
        <v>0</v>
      </c>
      <c r="F364" s="6"/>
      <c r="G364" s="6"/>
      <c r="H364" s="6"/>
      <c r="I364" s="6"/>
      <c r="J364" s="6"/>
    </row>
    <row r="365" spans="1:10">
      <c r="A365" s="16">
        <v>346</v>
      </c>
      <c r="B365" s="10">
        <f t="shared" si="24"/>
        <v>0</v>
      </c>
      <c r="C365" s="10">
        <f t="shared" si="25"/>
        <v>0</v>
      </c>
      <c r="D365" s="10">
        <f t="shared" si="26"/>
        <v>0</v>
      </c>
      <c r="E365" s="5">
        <f t="shared" si="27"/>
        <v>0</v>
      </c>
      <c r="F365" s="6"/>
      <c r="G365" s="6"/>
      <c r="H365" s="6"/>
      <c r="I365" s="6"/>
      <c r="J365" s="6"/>
    </row>
    <row r="366" spans="1:10">
      <c r="A366" s="16">
        <v>347</v>
      </c>
      <c r="B366" s="10">
        <f t="shared" si="24"/>
        <v>0</v>
      </c>
      <c r="C366" s="10">
        <f t="shared" si="25"/>
        <v>0</v>
      </c>
      <c r="D366" s="10">
        <f t="shared" si="26"/>
        <v>0</v>
      </c>
      <c r="E366" s="5">
        <f t="shared" si="27"/>
        <v>0</v>
      </c>
      <c r="F366" s="6"/>
      <c r="G366" s="6"/>
      <c r="H366" s="6"/>
      <c r="I366" s="6"/>
      <c r="J366" s="6"/>
    </row>
    <row r="367" spans="1:10">
      <c r="A367" s="16">
        <v>348</v>
      </c>
      <c r="B367" s="10">
        <f t="shared" si="24"/>
        <v>0</v>
      </c>
      <c r="C367" s="10">
        <f t="shared" si="25"/>
        <v>0</v>
      </c>
      <c r="D367" s="10">
        <f t="shared" si="26"/>
        <v>0</v>
      </c>
      <c r="E367" s="5">
        <f t="shared" si="27"/>
        <v>0</v>
      </c>
      <c r="F367" s="6"/>
      <c r="G367" s="6"/>
      <c r="H367" s="6"/>
      <c r="I367" s="6"/>
      <c r="J367" s="6"/>
    </row>
    <row r="368" spans="1:10">
      <c r="A368" s="16">
        <v>349</v>
      </c>
      <c r="B368" s="10">
        <f t="shared" si="24"/>
        <v>0</v>
      </c>
      <c r="C368" s="10">
        <f t="shared" si="25"/>
        <v>0</v>
      </c>
      <c r="D368" s="10">
        <f t="shared" si="26"/>
        <v>0</v>
      </c>
      <c r="E368" s="5">
        <f t="shared" si="27"/>
        <v>0</v>
      </c>
      <c r="F368" s="6"/>
      <c r="G368" s="6"/>
      <c r="H368" s="6"/>
      <c r="I368" s="6"/>
      <c r="J368" s="6"/>
    </row>
    <row r="369" spans="1:10">
      <c r="A369" s="16">
        <v>350</v>
      </c>
      <c r="B369" s="10">
        <f t="shared" si="24"/>
        <v>0</v>
      </c>
      <c r="C369" s="10">
        <f t="shared" si="25"/>
        <v>0</v>
      </c>
      <c r="D369" s="10">
        <f t="shared" si="26"/>
        <v>0</v>
      </c>
      <c r="E369" s="5">
        <f t="shared" si="27"/>
        <v>0</v>
      </c>
      <c r="F369" s="6"/>
      <c r="G369" s="6"/>
      <c r="H369" s="6"/>
      <c r="I369" s="6"/>
      <c r="J369" s="6"/>
    </row>
    <row r="370" spans="1:10">
      <c r="A370" s="16">
        <v>351</v>
      </c>
      <c r="B370" s="10">
        <f t="shared" si="24"/>
        <v>0</v>
      </c>
      <c r="C370" s="10">
        <f t="shared" si="25"/>
        <v>0</v>
      </c>
      <c r="D370" s="10">
        <f t="shared" si="26"/>
        <v>0</v>
      </c>
      <c r="E370" s="5">
        <f t="shared" si="27"/>
        <v>0</v>
      </c>
      <c r="F370" s="6"/>
      <c r="G370" s="6"/>
      <c r="H370" s="6"/>
      <c r="I370" s="6"/>
      <c r="J370" s="6"/>
    </row>
    <row r="371" spans="1:10">
      <c r="A371" s="16">
        <v>352</v>
      </c>
      <c r="B371" s="10">
        <f t="shared" si="24"/>
        <v>0</v>
      </c>
      <c r="C371" s="10">
        <f t="shared" si="25"/>
        <v>0</v>
      </c>
      <c r="D371" s="10">
        <f t="shared" si="26"/>
        <v>0</v>
      </c>
      <c r="E371" s="5">
        <f t="shared" si="27"/>
        <v>0</v>
      </c>
      <c r="F371" s="6"/>
      <c r="G371" s="6"/>
      <c r="H371" s="6"/>
      <c r="I371" s="6"/>
      <c r="J371" s="6"/>
    </row>
    <row r="372" spans="1:10">
      <c r="A372" s="16">
        <v>353</v>
      </c>
      <c r="B372" s="10">
        <f t="shared" si="24"/>
        <v>0</v>
      </c>
      <c r="C372" s="10">
        <f t="shared" si="25"/>
        <v>0</v>
      </c>
      <c r="D372" s="10">
        <f t="shared" si="26"/>
        <v>0</v>
      </c>
      <c r="E372" s="5">
        <f t="shared" si="27"/>
        <v>0</v>
      </c>
      <c r="F372" s="6"/>
      <c r="G372" s="6"/>
      <c r="H372" s="6"/>
      <c r="I372" s="6"/>
      <c r="J372" s="6"/>
    </row>
    <row r="373" spans="1:10">
      <c r="A373" s="16">
        <v>354</v>
      </c>
      <c r="B373" s="10">
        <f t="shared" si="24"/>
        <v>0</v>
      </c>
      <c r="C373" s="10">
        <f t="shared" si="25"/>
        <v>0</v>
      </c>
      <c r="D373" s="10">
        <f t="shared" si="26"/>
        <v>0</v>
      </c>
      <c r="E373" s="5">
        <f t="shared" si="27"/>
        <v>0</v>
      </c>
      <c r="F373" s="6"/>
      <c r="G373" s="6"/>
      <c r="H373" s="6"/>
      <c r="I373" s="6"/>
      <c r="J373" s="6"/>
    </row>
    <row r="374" spans="1:10">
      <c r="A374" s="16">
        <v>355</v>
      </c>
      <c r="B374" s="10">
        <f t="shared" si="24"/>
        <v>0</v>
      </c>
      <c r="C374" s="10">
        <f t="shared" si="25"/>
        <v>0</v>
      </c>
      <c r="D374" s="10">
        <f t="shared" si="26"/>
        <v>0</v>
      </c>
      <c r="E374" s="5">
        <f t="shared" si="27"/>
        <v>0</v>
      </c>
      <c r="F374" s="6"/>
      <c r="G374" s="6"/>
      <c r="H374" s="6"/>
      <c r="I374" s="6"/>
      <c r="J374" s="6"/>
    </row>
    <row r="375" spans="1:10">
      <c r="A375" s="16">
        <v>356</v>
      </c>
      <c r="B375" s="10">
        <f t="shared" si="24"/>
        <v>0</v>
      </c>
      <c r="C375" s="10">
        <f t="shared" si="25"/>
        <v>0</v>
      </c>
      <c r="D375" s="10">
        <f t="shared" si="26"/>
        <v>0</v>
      </c>
      <c r="E375" s="5">
        <f t="shared" si="27"/>
        <v>0</v>
      </c>
      <c r="F375" s="6"/>
      <c r="G375" s="6"/>
      <c r="H375" s="6"/>
      <c r="I375" s="6"/>
      <c r="J375" s="6"/>
    </row>
    <row r="376" spans="1:10">
      <c r="A376" s="16">
        <v>357</v>
      </c>
      <c r="B376" s="10">
        <f t="shared" si="24"/>
        <v>0</v>
      </c>
      <c r="C376" s="10">
        <f t="shared" si="25"/>
        <v>0</v>
      </c>
      <c r="D376" s="10">
        <f t="shared" si="26"/>
        <v>0</v>
      </c>
      <c r="E376" s="5">
        <f t="shared" si="27"/>
        <v>0</v>
      </c>
      <c r="F376" s="6"/>
      <c r="G376" s="6"/>
      <c r="H376" s="6"/>
      <c r="I376" s="6"/>
      <c r="J376" s="6"/>
    </row>
    <row r="377" spans="1:10">
      <c r="A377" s="16">
        <v>358</v>
      </c>
      <c r="B377" s="10">
        <f t="shared" si="24"/>
        <v>0</v>
      </c>
      <c r="C377" s="10">
        <f t="shared" si="25"/>
        <v>0</v>
      </c>
      <c r="D377" s="10">
        <f t="shared" si="26"/>
        <v>0</v>
      </c>
      <c r="E377" s="5">
        <f t="shared" si="27"/>
        <v>0</v>
      </c>
      <c r="F377" s="6"/>
      <c r="G377" s="6"/>
      <c r="H377" s="6"/>
      <c r="I377" s="6"/>
      <c r="J377" s="6"/>
    </row>
    <row r="378" spans="1:10">
      <c r="A378" s="16">
        <v>359</v>
      </c>
      <c r="B378" s="10">
        <f t="shared" si="24"/>
        <v>0</v>
      </c>
      <c r="C378" s="10">
        <f t="shared" si="25"/>
        <v>0</v>
      </c>
      <c r="D378" s="10">
        <f t="shared" si="26"/>
        <v>0</v>
      </c>
      <c r="E378" s="5">
        <f t="shared" si="27"/>
        <v>0</v>
      </c>
      <c r="F378" s="6"/>
      <c r="G378" s="6"/>
      <c r="H378" s="6"/>
      <c r="I378" s="6"/>
      <c r="J378" s="6"/>
    </row>
    <row r="379" spans="1:10">
      <c r="A379" s="16">
        <v>360</v>
      </c>
      <c r="B379" s="10">
        <f t="shared" si="24"/>
        <v>0</v>
      </c>
      <c r="C379" s="10">
        <f t="shared" si="25"/>
        <v>0</v>
      </c>
      <c r="D379" s="10">
        <f t="shared" si="26"/>
        <v>0</v>
      </c>
      <c r="E379" s="5">
        <f t="shared" si="27"/>
        <v>0</v>
      </c>
      <c r="F379" s="6"/>
      <c r="G379" s="6"/>
      <c r="H379" s="6"/>
      <c r="I379" s="6"/>
      <c r="J379" s="6"/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P79"/>
  <sheetViews>
    <sheetView showGridLines="0" tabSelected="1" zoomScaleNormal="100" workbookViewId="0">
      <selection activeCell="E6" sqref="E6"/>
    </sheetView>
  </sheetViews>
  <sheetFormatPr baseColWidth="10" defaultColWidth="0" defaultRowHeight="15" zeroHeight="1"/>
  <cols>
    <col min="1" max="1" width="1.625" style="23" customWidth="1"/>
    <col min="2" max="2" width="45.5" style="23" customWidth="1"/>
    <col min="3" max="3" width="2" style="23" customWidth="1"/>
    <col min="4" max="4" width="2.875" style="23" customWidth="1"/>
    <col min="5" max="5" width="13.875" style="23" bestFit="1" customWidth="1"/>
    <col min="6" max="6" width="13.125" style="23" customWidth="1"/>
    <col min="7" max="7" width="14" style="23" customWidth="1"/>
    <col min="8" max="8" width="1.625" style="23" customWidth="1"/>
    <col min="9" max="11" width="11" style="23" hidden="1" customWidth="1"/>
    <col min="12" max="12" width="16" style="23" hidden="1" customWidth="1"/>
    <col min="13" max="13" width="7" style="23" hidden="1" customWidth="1"/>
    <col min="14" max="14" width="2.25" style="23" hidden="1" customWidth="1"/>
    <col min="15" max="15" width="7" style="23" hidden="1" customWidth="1"/>
    <col min="16" max="16" width="2.25" style="23" hidden="1" customWidth="1"/>
    <col min="17" max="16384" width="11" style="23" hidden="1"/>
  </cols>
  <sheetData>
    <row r="1" spans="1:10" s="21" customFormat="1" ht="35.1" customHeight="1">
      <c r="A1" s="140"/>
      <c r="B1" s="201" t="s">
        <v>239</v>
      </c>
      <c r="E1" s="226"/>
      <c r="F1" s="226"/>
      <c r="G1" s="226"/>
      <c r="H1" s="226"/>
      <c r="I1" s="226"/>
      <c r="J1" s="226"/>
    </row>
    <row r="2" spans="1:10">
      <c r="B2" s="22"/>
      <c r="C2" s="22"/>
      <c r="D2" s="22"/>
      <c r="E2" s="22"/>
      <c r="F2" s="22"/>
      <c r="G2" s="22"/>
    </row>
    <row r="3" spans="1:10" s="49" customFormat="1" ht="15.75">
      <c r="A3" s="202"/>
      <c r="B3" s="48" t="s">
        <v>3</v>
      </c>
      <c r="H3" s="202"/>
    </row>
    <row r="4" spans="1:10" ht="4.5" customHeight="1">
      <c r="B4" s="22"/>
      <c r="C4" s="22"/>
      <c r="D4" s="22"/>
      <c r="E4" s="22"/>
      <c r="F4" s="22"/>
      <c r="G4" s="22"/>
    </row>
    <row r="5" spans="1:10">
      <c r="B5" s="22"/>
      <c r="C5" s="22"/>
      <c r="D5" s="22"/>
      <c r="E5" s="25" t="s">
        <v>8</v>
      </c>
      <c r="F5" s="25" t="s">
        <v>18</v>
      </c>
      <c r="G5" s="25" t="s">
        <v>9</v>
      </c>
    </row>
    <row r="6" spans="1:10">
      <c r="B6" s="22" t="s">
        <v>4</v>
      </c>
      <c r="C6" s="22"/>
      <c r="D6" s="22"/>
      <c r="E6" s="206">
        <v>10000</v>
      </c>
      <c r="F6" s="26">
        <f>IF(E6="","",E6*19%)</f>
        <v>1900</v>
      </c>
      <c r="G6" s="26">
        <f>IF(F6="","",E6+F6)</f>
        <v>11900</v>
      </c>
    </row>
    <row r="7" spans="1:10">
      <c r="B7" s="22" t="s">
        <v>5</v>
      </c>
      <c r="C7" s="22"/>
      <c r="D7" s="22"/>
      <c r="E7" s="206">
        <v>2200</v>
      </c>
      <c r="F7" s="26">
        <f t="shared" ref="F7:F9" si="0">IF(E7="","",E7*19%)</f>
        <v>418</v>
      </c>
      <c r="G7" s="26">
        <f t="shared" ref="G7:G9" si="1">IF(F7="","",E7+F7)</f>
        <v>2618</v>
      </c>
    </row>
    <row r="8" spans="1:10">
      <c r="B8" s="22" t="s">
        <v>6</v>
      </c>
      <c r="C8" s="22"/>
      <c r="D8" s="22"/>
      <c r="E8" s="206">
        <v>1000</v>
      </c>
      <c r="F8" s="26">
        <f t="shared" si="0"/>
        <v>190</v>
      </c>
      <c r="G8" s="26">
        <f t="shared" si="1"/>
        <v>1190</v>
      </c>
    </row>
    <row r="9" spans="1:10">
      <c r="B9" s="22" t="s">
        <v>154</v>
      </c>
      <c r="C9" s="22"/>
      <c r="D9" s="22"/>
      <c r="E9" s="206">
        <v>300</v>
      </c>
      <c r="F9" s="26">
        <f t="shared" si="0"/>
        <v>57</v>
      </c>
      <c r="G9" s="26">
        <f t="shared" si="1"/>
        <v>357</v>
      </c>
    </row>
    <row r="10" spans="1:10" s="45" customFormat="1" ht="30" customHeight="1" thickBot="1">
      <c r="B10" s="41" t="s">
        <v>7</v>
      </c>
      <c r="C10" s="41"/>
      <c r="D10" s="41"/>
      <c r="E10" s="42">
        <f>SUM(E6:E9)</f>
        <v>13500</v>
      </c>
      <c r="F10" s="43">
        <f t="shared" ref="F10:G10" si="2">SUM(F6:F9)</f>
        <v>2565</v>
      </c>
      <c r="G10" s="43">
        <f t="shared" si="2"/>
        <v>16065</v>
      </c>
    </row>
    <row r="11" spans="1:10" ht="15.75" thickTop="1">
      <c r="B11" s="22"/>
      <c r="C11" s="22"/>
      <c r="D11" s="22"/>
      <c r="E11" s="22"/>
      <c r="F11" s="22"/>
      <c r="G11" s="22"/>
    </row>
    <row r="12" spans="1:10" s="47" customFormat="1" ht="21" customHeight="1">
      <c r="B12" s="46" t="s">
        <v>16</v>
      </c>
      <c r="C12" s="46"/>
      <c r="D12" s="46"/>
      <c r="E12" s="209">
        <v>44331</v>
      </c>
      <c r="F12" s="46"/>
      <c r="G12" s="46"/>
    </row>
    <row r="13" spans="1:10">
      <c r="B13" s="22"/>
      <c r="C13" s="22"/>
      <c r="D13" s="22"/>
      <c r="E13" s="22"/>
      <c r="F13" s="22"/>
      <c r="G13" s="22"/>
    </row>
    <row r="14" spans="1:10" s="49" customFormat="1" ht="15.75">
      <c r="A14" s="202"/>
      <c r="B14" s="48" t="s">
        <v>10</v>
      </c>
      <c r="H14" s="203"/>
    </row>
    <row r="15" spans="1:10" ht="6" customHeight="1">
      <c r="B15" s="22"/>
      <c r="C15" s="22"/>
      <c r="D15" s="22"/>
      <c r="E15" s="22"/>
      <c r="F15" s="22"/>
      <c r="G15" s="22"/>
    </row>
    <row r="16" spans="1:10">
      <c r="B16" s="22" t="s">
        <v>12</v>
      </c>
      <c r="C16" s="22"/>
      <c r="D16" s="22"/>
      <c r="E16" s="207">
        <v>10</v>
      </c>
      <c r="F16" s="22" t="s">
        <v>11</v>
      </c>
      <c r="G16" s="22"/>
      <c r="H16" s="204"/>
    </row>
    <row r="17" spans="1:12">
      <c r="B17" s="22" t="s">
        <v>13</v>
      </c>
      <c r="C17" s="22"/>
      <c r="D17" s="22"/>
      <c r="E17" s="207">
        <v>975</v>
      </c>
      <c r="F17" s="22" t="s">
        <v>15</v>
      </c>
      <c r="G17" s="22"/>
      <c r="L17" s="28"/>
    </row>
    <row r="18" spans="1:12">
      <c r="B18" s="22" t="s">
        <v>14</v>
      </c>
      <c r="C18" s="22"/>
      <c r="D18" s="22"/>
      <c r="E18" s="207">
        <v>689</v>
      </c>
      <c r="F18" s="22" t="s">
        <v>15</v>
      </c>
      <c r="G18" s="22"/>
      <c r="L18" s="29"/>
    </row>
    <row r="19" spans="1:12">
      <c r="B19" s="22" t="s">
        <v>17</v>
      </c>
      <c r="C19" s="22"/>
      <c r="D19" s="22"/>
      <c r="E19" s="208">
        <v>5.0000000000000001E-3</v>
      </c>
      <c r="F19" s="22"/>
      <c r="G19" s="22"/>
      <c r="L19" s="30"/>
    </row>
    <row r="20" spans="1:12">
      <c r="B20" s="22"/>
      <c r="C20" s="22"/>
      <c r="D20" s="22"/>
      <c r="E20" s="22"/>
      <c r="F20" s="22"/>
      <c r="G20" s="22"/>
      <c r="L20" s="31"/>
    </row>
    <row r="21" spans="1:12" s="49" customFormat="1" ht="15.75">
      <c r="A21" s="202"/>
      <c r="B21" s="48" t="s">
        <v>19</v>
      </c>
      <c r="H21" s="202"/>
      <c r="L21" s="50"/>
    </row>
    <row r="22" spans="1:12" ht="5.25" customHeight="1">
      <c r="B22" s="22"/>
      <c r="C22" s="22"/>
      <c r="D22" s="22"/>
      <c r="E22" s="22"/>
      <c r="F22" s="22"/>
      <c r="G22" s="22"/>
      <c r="L22" s="32"/>
    </row>
    <row r="23" spans="1:12">
      <c r="B23" s="22" t="s">
        <v>20</v>
      </c>
      <c r="C23" s="22"/>
      <c r="D23" s="22"/>
      <c r="E23" s="210">
        <v>0.09</v>
      </c>
      <c r="F23" s="22" t="s">
        <v>21</v>
      </c>
      <c r="G23" s="22"/>
    </row>
    <row r="24" spans="1:12">
      <c r="B24" s="22" t="s">
        <v>133</v>
      </c>
      <c r="C24" s="22"/>
      <c r="D24" s="22"/>
      <c r="E24" s="210">
        <v>0.2</v>
      </c>
      <c r="F24" s="22" t="s">
        <v>21</v>
      </c>
      <c r="G24" s="22"/>
      <c r="H24" s="204"/>
    </row>
    <row r="25" spans="1:12">
      <c r="B25" s="224" t="s">
        <v>235</v>
      </c>
      <c r="C25" s="22"/>
      <c r="D25" s="22"/>
      <c r="E25" s="210">
        <v>0.28179999999999999</v>
      </c>
      <c r="F25" s="22" t="s">
        <v>21</v>
      </c>
      <c r="G25" s="22"/>
      <c r="L25" s="28"/>
    </row>
    <row r="26" spans="1:12">
      <c r="B26" s="22"/>
      <c r="C26" s="22"/>
      <c r="D26" s="22"/>
      <c r="E26" s="33"/>
      <c r="F26" s="22"/>
      <c r="G26" s="22"/>
      <c r="L26" s="29"/>
    </row>
    <row r="27" spans="1:12" s="49" customFormat="1" ht="15.75">
      <c r="A27" s="202"/>
      <c r="B27" s="48" t="s">
        <v>25</v>
      </c>
      <c r="E27" s="51"/>
      <c r="H27" s="202"/>
      <c r="L27" s="50"/>
    </row>
    <row r="28" spans="1:12" ht="6" customHeight="1">
      <c r="B28" s="22"/>
      <c r="C28" s="22"/>
      <c r="D28" s="22"/>
      <c r="E28" s="33"/>
      <c r="F28" s="22"/>
      <c r="G28" s="22"/>
      <c r="L28" s="31"/>
    </row>
    <row r="29" spans="1:12">
      <c r="B29" s="22" t="s">
        <v>26</v>
      </c>
      <c r="C29" s="22"/>
      <c r="D29" s="22"/>
      <c r="E29" s="208">
        <v>1.4999999999999999E-2</v>
      </c>
      <c r="F29" s="22"/>
      <c r="G29" s="22"/>
      <c r="L29" s="30"/>
    </row>
    <row r="30" spans="1:12">
      <c r="B30" s="22" t="s">
        <v>27</v>
      </c>
      <c r="C30" s="22"/>
      <c r="D30" s="22"/>
      <c r="E30" s="208">
        <v>1.4999999999999999E-2</v>
      </c>
      <c r="F30" s="22"/>
      <c r="G30" s="22"/>
      <c r="L30" s="32"/>
    </row>
    <row r="31" spans="1:12">
      <c r="B31" s="22"/>
      <c r="C31" s="22"/>
      <c r="D31" s="22"/>
      <c r="E31" s="22"/>
      <c r="F31" s="22"/>
      <c r="G31" s="22"/>
    </row>
    <row r="32" spans="1:12" s="49" customFormat="1" ht="15.75">
      <c r="A32" s="202"/>
      <c r="B32" s="48" t="s">
        <v>22</v>
      </c>
      <c r="H32" s="205"/>
    </row>
    <row r="33" spans="1:12" ht="5.25" customHeight="1">
      <c r="B33" s="22"/>
      <c r="C33" s="22"/>
      <c r="D33" s="22"/>
      <c r="E33" s="22"/>
      <c r="F33" s="22"/>
      <c r="G33" s="22"/>
      <c r="L33" s="28"/>
    </row>
    <row r="34" spans="1:12">
      <c r="B34" s="22" t="s">
        <v>23</v>
      </c>
      <c r="C34" s="22"/>
      <c r="D34" s="22"/>
      <c r="E34" s="208">
        <v>0.8</v>
      </c>
      <c r="F34" s="22"/>
      <c r="G34" s="22"/>
      <c r="L34" s="29"/>
    </row>
    <row r="35" spans="1:12">
      <c r="B35" s="22" t="s">
        <v>24</v>
      </c>
      <c r="C35" s="22"/>
      <c r="D35" s="22"/>
      <c r="E35" s="34">
        <f>IF(E34="","",100%-E34)</f>
        <v>0.19999999999999996</v>
      </c>
      <c r="F35" s="22"/>
      <c r="G35" s="22"/>
      <c r="L35" s="30"/>
    </row>
    <row r="36" spans="1:12">
      <c r="B36" s="22"/>
      <c r="C36" s="22"/>
      <c r="D36" s="22"/>
      <c r="E36" s="22"/>
      <c r="F36" s="22"/>
      <c r="G36" s="22"/>
      <c r="L36" s="31"/>
    </row>
    <row r="37" spans="1:12" s="49" customFormat="1" ht="15.75">
      <c r="A37" s="202"/>
      <c r="B37" s="48" t="s">
        <v>28</v>
      </c>
      <c r="H37" s="202"/>
      <c r="L37" s="50"/>
    </row>
    <row r="38" spans="1:12" ht="6" customHeight="1">
      <c r="B38" s="22"/>
      <c r="C38" s="22"/>
      <c r="D38" s="22"/>
      <c r="E38" s="22"/>
      <c r="F38" s="22"/>
      <c r="G38" s="22"/>
      <c r="L38" s="32"/>
    </row>
    <row r="39" spans="1:12">
      <c r="B39" s="22" t="s">
        <v>157</v>
      </c>
      <c r="C39" s="22"/>
      <c r="D39" s="22"/>
      <c r="E39" s="206">
        <v>250</v>
      </c>
      <c r="F39" s="22"/>
      <c r="G39" s="22"/>
    </row>
    <row r="40" spans="1:12">
      <c r="B40" s="22" t="s">
        <v>29</v>
      </c>
      <c r="C40" s="22"/>
      <c r="D40" s="22"/>
      <c r="E40" s="206">
        <v>100</v>
      </c>
      <c r="F40" s="22"/>
      <c r="G40" s="22"/>
    </row>
    <row r="41" spans="1:12">
      <c r="B41" s="22" t="s">
        <v>158</v>
      </c>
      <c r="C41" s="22"/>
      <c r="D41" s="22"/>
      <c r="E41" s="206">
        <v>30</v>
      </c>
      <c r="F41" s="22"/>
      <c r="G41" s="22"/>
    </row>
    <row r="42" spans="1:12">
      <c r="B42" s="22" t="s">
        <v>159</v>
      </c>
      <c r="C42" s="22"/>
      <c r="D42" s="22"/>
      <c r="E42" s="206">
        <v>50</v>
      </c>
      <c r="F42" s="22"/>
      <c r="G42" s="22"/>
    </row>
    <row r="43" spans="1:12">
      <c r="B43" s="22" t="s">
        <v>160</v>
      </c>
      <c r="C43" s="22"/>
      <c r="D43" s="22"/>
      <c r="E43" s="206">
        <v>10</v>
      </c>
      <c r="F43" s="22"/>
      <c r="G43" s="22"/>
    </row>
    <row r="44" spans="1:12">
      <c r="B44" s="22"/>
      <c r="C44" s="22"/>
      <c r="D44" s="22"/>
      <c r="E44" s="22"/>
      <c r="F44" s="22"/>
      <c r="G44" s="22"/>
    </row>
    <row r="45" spans="1:12" s="49" customFormat="1" ht="15.75">
      <c r="A45" s="202"/>
      <c r="B45" s="48" t="s">
        <v>41</v>
      </c>
      <c r="H45" s="202"/>
    </row>
    <row r="46" spans="1:12" ht="5.25" customHeight="1">
      <c r="B46" s="24"/>
      <c r="C46" s="22"/>
      <c r="D46" s="22"/>
      <c r="E46" s="22"/>
      <c r="F46" s="22"/>
      <c r="G46" s="22"/>
    </row>
    <row r="47" spans="1:12">
      <c r="B47" s="27" t="s">
        <v>46</v>
      </c>
      <c r="C47" s="22"/>
      <c r="D47" s="22"/>
      <c r="E47" s="22"/>
      <c r="F47" s="22"/>
      <c r="G47" s="22"/>
    </row>
    <row r="48" spans="1:12">
      <c r="B48" s="22" t="s">
        <v>47</v>
      </c>
      <c r="C48" s="22"/>
      <c r="D48" s="22"/>
      <c r="E48" s="211" t="s">
        <v>79</v>
      </c>
      <c r="F48" s="22"/>
      <c r="G48" s="22"/>
    </row>
    <row r="49" spans="2:7">
      <c r="B49" s="22"/>
      <c r="C49" s="22"/>
      <c r="D49" s="22"/>
      <c r="E49" s="22"/>
      <c r="F49" s="22"/>
      <c r="G49" s="22"/>
    </row>
    <row r="50" spans="2:7">
      <c r="B50" s="27" t="s">
        <v>95</v>
      </c>
      <c r="C50" s="22"/>
      <c r="D50" s="22"/>
      <c r="E50" s="22"/>
      <c r="F50" s="22"/>
      <c r="G50" s="22"/>
    </row>
    <row r="51" spans="2:7">
      <c r="B51" s="22" t="s">
        <v>96</v>
      </c>
      <c r="C51" s="22"/>
      <c r="D51" s="22"/>
      <c r="E51" s="211" t="s">
        <v>79</v>
      </c>
      <c r="F51" s="22"/>
      <c r="G51" s="22"/>
    </row>
    <row r="52" spans="2:7" ht="9.75" customHeight="1">
      <c r="B52" s="24"/>
      <c r="C52" s="22"/>
      <c r="D52" s="22"/>
      <c r="E52" s="22"/>
      <c r="F52" s="22"/>
      <c r="G52" s="22"/>
    </row>
    <row r="53" spans="2:7">
      <c r="B53" s="35" t="s">
        <v>156</v>
      </c>
      <c r="C53" s="22"/>
      <c r="D53" s="22"/>
      <c r="E53" s="22"/>
      <c r="F53" s="22"/>
      <c r="G53" s="22"/>
    </row>
    <row r="54" spans="2:7">
      <c r="B54" s="22" t="s">
        <v>42</v>
      </c>
      <c r="C54" s="22"/>
      <c r="D54" s="22"/>
      <c r="E54" s="206">
        <v>30000</v>
      </c>
      <c r="F54" s="22"/>
      <c r="G54" s="22"/>
    </row>
    <row r="55" spans="2:7">
      <c r="B55" s="22" t="s">
        <v>43</v>
      </c>
      <c r="C55" s="22"/>
      <c r="D55" s="22"/>
      <c r="E55" s="206">
        <v>40000</v>
      </c>
      <c r="F55" s="22"/>
      <c r="G55" s="22"/>
    </row>
    <row r="56" spans="2:7">
      <c r="B56" s="22" t="s">
        <v>94</v>
      </c>
      <c r="C56" s="22"/>
      <c r="D56" s="22"/>
      <c r="E56" s="206">
        <v>50000</v>
      </c>
      <c r="F56" s="22"/>
      <c r="G56" s="22"/>
    </row>
    <row r="57" spans="2:7">
      <c r="B57" s="22"/>
      <c r="C57" s="22"/>
      <c r="D57" s="22"/>
      <c r="E57" s="22"/>
      <c r="F57" s="22"/>
      <c r="G57" s="22"/>
    </row>
    <row r="58" spans="2:7">
      <c r="B58" s="35" t="s">
        <v>45</v>
      </c>
      <c r="C58" s="22"/>
      <c r="D58" s="22"/>
      <c r="E58" s="22"/>
      <c r="F58" s="22"/>
      <c r="G58" s="22"/>
    </row>
    <row r="59" spans="2:7">
      <c r="B59" s="22" t="s">
        <v>167</v>
      </c>
      <c r="C59" s="22"/>
      <c r="D59" s="22"/>
      <c r="E59" s="22">
        <v>20</v>
      </c>
      <c r="F59" s="22"/>
      <c r="G59" s="22"/>
    </row>
    <row r="60" spans="2:7">
      <c r="B60" s="22" t="s">
        <v>44</v>
      </c>
      <c r="C60" s="22"/>
      <c r="D60" s="22"/>
      <c r="E60" s="211" t="s">
        <v>151</v>
      </c>
      <c r="F60" s="22"/>
      <c r="G60" s="22"/>
    </row>
    <row r="61" spans="2:7">
      <c r="B61" s="22" t="s">
        <v>49</v>
      </c>
      <c r="C61" s="22"/>
      <c r="D61" s="22"/>
      <c r="E61" s="208">
        <v>0.2</v>
      </c>
      <c r="F61" s="22"/>
      <c r="G61" s="22"/>
    </row>
    <row r="62" spans="2:7">
      <c r="B62" s="22"/>
      <c r="C62" s="22"/>
      <c r="D62" s="22"/>
      <c r="E62" s="22"/>
      <c r="F62" s="22"/>
      <c r="G62" s="22"/>
    </row>
    <row r="63" spans="2:7">
      <c r="B63" s="35" t="s">
        <v>48</v>
      </c>
      <c r="C63" s="22"/>
      <c r="D63" s="22"/>
      <c r="E63" s="22"/>
      <c r="F63" s="22"/>
      <c r="G63" s="22"/>
    </row>
    <row r="64" spans="2:7">
      <c r="B64" s="22" t="s">
        <v>50</v>
      </c>
      <c r="C64" s="22"/>
      <c r="D64" s="22"/>
      <c r="E64" s="212" t="s">
        <v>151</v>
      </c>
      <c r="F64" s="22"/>
      <c r="G64" s="22"/>
    </row>
    <row r="65" spans="1:8">
      <c r="B65" s="22" t="s">
        <v>51</v>
      </c>
      <c r="C65" s="22"/>
      <c r="D65" s="22"/>
      <c r="E65" s="208">
        <v>0.4</v>
      </c>
      <c r="F65" s="22"/>
      <c r="G65" s="22"/>
    </row>
    <row r="66" spans="1:8">
      <c r="B66" s="22" t="s">
        <v>155</v>
      </c>
      <c r="C66" s="22"/>
      <c r="D66" s="22"/>
      <c r="E66" s="212" t="s">
        <v>151</v>
      </c>
      <c r="F66" s="22"/>
      <c r="G66" s="22"/>
    </row>
    <row r="67" spans="1:8">
      <c r="B67" s="22" t="s">
        <v>66</v>
      </c>
      <c r="C67" s="22"/>
      <c r="D67" s="22"/>
      <c r="E67" s="208">
        <v>0.4</v>
      </c>
      <c r="F67" s="22"/>
      <c r="G67" s="22"/>
    </row>
    <row r="68" spans="1:8">
      <c r="B68" s="22"/>
      <c r="C68" s="22"/>
      <c r="D68" s="22"/>
      <c r="E68" s="22"/>
      <c r="F68" s="22"/>
      <c r="G68" s="22"/>
    </row>
    <row r="69" spans="1:8">
      <c r="B69" s="27" t="s">
        <v>52</v>
      </c>
      <c r="C69" s="22"/>
      <c r="D69" s="22"/>
      <c r="E69" s="22"/>
      <c r="F69" s="22"/>
      <c r="G69" s="22"/>
    </row>
    <row r="70" spans="1:8">
      <c r="B70" s="22" t="s">
        <v>53</v>
      </c>
      <c r="C70" s="22"/>
      <c r="D70" s="22"/>
      <c r="E70" s="208">
        <v>4.4000000000000004</v>
      </c>
      <c r="F70" s="22"/>
      <c r="G70" s="22"/>
    </row>
    <row r="71" spans="1:8">
      <c r="B71" s="184" t="s">
        <v>182</v>
      </c>
      <c r="C71" s="22"/>
      <c r="D71" s="22"/>
      <c r="E71" s="211" t="s">
        <v>151</v>
      </c>
      <c r="F71" s="22"/>
      <c r="G71" s="22"/>
    </row>
    <row r="72" spans="1:8">
      <c r="B72" s="22"/>
      <c r="C72" s="22"/>
      <c r="D72" s="22"/>
      <c r="E72" s="22"/>
      <c r="F72" s="22"/>
      <c r="G72" s="22"/>
    </row>
    <row r="73" spans="1:8" s="49" customFormat="1" ht="15.75">
      <c r="A73" s="202"/>
      <c r="B73" s="48" t="s">
        <v>54</v>
      </c>
      <c r="H73" s="202"/>
    </row>
    <row r="74" spans="1:8" ht="4.5" customHeight="1">
      <c r="B74" s="22"/>
      <c r="C74" s="22"/>
      <c r="D74" s="22"/>
      <c r="E74" s="22"/>
      <c r="F74" s="22"/>
      <c r="G74" s="22"/>
    </row>
    <row r="75" spans="1:8">
      <c r="B75" s="22" t="s">
        <v>55</v>
      </c>
      <c r="C75" s="22"/>
      <c r="D75" s="22"/>
      <c r="E75" s="208">
        <v>0.02</v>
      </c>
      <c r="F75" s="22"/>
      <c r="G75" s="22"/>
    </row>
    <row r="76" spans="1:8">
      <c r="B76" s="22" t="s">
        <v>135</v>
      </c>
      <c r="C76" s="22"/>
      <c r="D76" s="22"/>
      <c r="E76" s="208">
        <v>9.9900000000000003E-2</v>
      </c>
      <c r="F76" s="22"/>
      <c r="G76" s="22"/>
    </row>
    <row r="77" spans="1:8">
      <c r="B77" s="22"/>
      <c r="C77" s="22"/>
      <c r="D77" s="22"/>
      <c r="E77" s="22"/>
      <c r="F77" s="22"/>
      <c r="G77" s="22"/>
    </row>
    <row r="78" spans="1:8" s="36" customFormat="1">
      <c r="B78" s="35" t="s">
        <v>161</v>
      </c>
      <c r="C78" s="35"/>
      <c r="D78" s="35"/>
      <c r="E78" s="35"/>
      <c r="F78" s="35"/>
      <c r="G78" s="35"/>
    </row>
    <row r="79" spans="1:8" ht="11.25" customHeight="1">
      <c r="B79" s="22"/>
      <c r="C79" s="22"/>
      <c r="D79" s="22"/>
      <c r="E79" s="22"/>
      <c r="F79" s="22"/>
      <c r="G79" s="22"/>
    </row>
  </sheetData>
  <sheetProtection algorithmName="SHA-512" hashValue="p8SVNjad91llvCzpN2ZNVMnaIzLSxfY68D8tuxy+xNnklfeMA/7J1JnkGGMcV0vDhr0wlBbBH0lU6gCkiFE/kQ==" saltValue="X1rIQ1vYJaALpaPf62AgFQ==" spinCount="100000" sheet="1" objects="1" scenarios="1"/>
  <dataValidations count="2">
    <dataValidation type="list" allowBlank="1" showInputMessage="1" showErrorMessage="1" sqref="L33 L25 L17" xr:uid="{00000000-0002-0000-0100-000000000000}">
      <formula1>"Annuitätendarlehen,Ratendarlehen,Restwertdarlehen"</formula1>
    </dataValidation>
    <dataValidation type="list" allowBlank="1" showInputMessage="1" showErrorMessage="1" sqref="E60 E48 E51 E66 E64 E71" xr:uid="{00000000-0002-0000-0100-000001000000}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portrait" r:id="rId1"/>
  <headerFooter>
    <oddHeader>&amp;L&amp;F&amp;R&amp;D</oddHeader>
    <oddFooter>&amp;CSeite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showGridLines="0" workbookViewId="0">
      <selection activeCell="E5" sqref="E5"/>
    </sheetView>
  </sheetViews>
  <sheetFormatPr baseColWidth="10" defaultColWidth="0" defaultRowHeight="15" zeroHeight="1"/>
  <cols>
    <col min="1" max="1" width="1.625" style="40" customWidth="1"/>
    <col min="2" max="2" width="11" style="40" customWidth="1"/>
    <col min="3" max="3" width="17.75" style="40" customWidth="1"/>
    <col min="4" max="4" width="4.5" style="40" customWidth="1"/>
    <col min="5" max="5" width="19.75" style="40" customWidth="1"/>
    <col min="6" max="6" width="11" style="40" customWidth="1"/>
    <col min="7" max="7" width="1.625" style="23" customWidth="1"/>
    <col min="8" max="16384" width="11" style="40" hidden="1"/>
  </cols>
  <sheetData>
    <row r="1" spans="2:16" s="37" customFormat="1" ht="33.75" customHeight="1">
      <c r="B1" s="238" t="s">
        <v>241</v>
      </c>
      <c r="C1" s="239"/>
      <c r="D1" s="239"/>
      <c r="E1" s="239"/>
      <c r="F1" s="239"/>
      <c r="G1" s="140"/>
      <c r="H1" s="21"/>
      <c r="I1" s="21"/>
      <c r="J1" s="21"/>
      <c r="K1" s="21"/>
      <c r="L1" s="21"/>
      <c r="M1" s="21"/>
      <c r="N1" s="21"/>
      <c r="O1" s="21"/>
      <c r="P1" s="21"/>
    </row>
    <row r="2" spans="2:16" s="39" customFormat="1" ht="16.5" customHeight="1">
      <c r="B2" s="38"/>
      <c r="G2" s="140"/>
    </row>
    <row r="3" spans="2:16" s="22" customFormat="1">
      <c r="B3" s="27" t="s">
        <v>30</v>
      </c>
      <c r="G3" s="23"/>
    </row>
    <row r="4" spans="2:16" s="22" customFormat="1">
      <c r="B4" s="22" t="s">
        <v>31</v>
      </c>
      <c r="E4" s="207" t="s">
        <v>149</v>
      </c>
      <c r="G4" s="23"/>
    </row>
    <row r="5" spans="2:16" s="22" customFormat="1">
      <c r="B5" s="22" t="s">
        <v>32</v>
      </c>
      <c r="E5" s="213">
        <v>3333</v>
      </c>
      <c r="F5" s="22" t="s">
        <v>166</v>
      </c>
      <c r="G5" s="23"/>
    </row>
    <row r="6" spans="2:16" s="22" customFormat="1">
      <c r="B6" s="22" t="s">
        <v>34</v>
      </c>
      <c r="E6" s="214">
        <v>10</v>
      </c>
      <c r="F6" s="22" t="s">
        <v>33</v>
      </c>
      <c r="G6" s="23"/>
    </row>
    <row r="7" spans="2:16" s="22" customFormat="1">
      <c r="B7" s="22" t="s">
        <v>35</v>
      </c>
      <c r="E7" s="215">
        <v>2</v>
      </c>
      <c r="F7" s="22" t="s">
        <v>165</v>
      </c>
      <c r="G7" s="23"/>
    </row>
    <row r="8" spans="2:16" s="22" customFormat="1">
      <c r="B8" s="22" t="s">
        <v>36</v>
      </c>
      <c r="E8" s="214">
        <v>6</v>
      </c>
      <c r="F8" s="22" t="s">
        <v>37</v>
      </c>
      <c r="G8" s="23"/>
    </row>
    <row r="9" spans="2:16" s="22" customFormat="1">
      <c r="B9" s="22" t="s">
        <v>38</v>
      </c>
      <c r="E9" s="215">
        <v>0</v>
      </c>
      <c r="F9" s="22" t="s">
        <v>166</v>
      </c>
      <c r="G9" s="23"/>
    </row>
    <row r="10" spans="2:16" s="22" customFormat="1">
      <c r="G10" s="23"/>
    </row>
    <row r="11" spans="2:16" s="22" customFormat="1">
      <c r="B11" s="27" t="s">
        <v>39</v>
      </c>
      <c r="G11" s="23"/>
    </row>
    <row r="12" spans="2:16" s="22" customFormat="1">
      <c r="B12" s="22" t="s">
        <v>31</v>
      </c>
      <c r="E12" s="207" t="s">
        <v>78</v>
      </c>
      <c r="G12" s="23"/>
    </row>
    <row r="13" spans="2:16" s="22" customFormat="1">
      <c r="B13" s="22" t="s">
        <v>32</v>
      </c>
      <c r="E13" s="213">
        <v>3333</v>
      </c>
      <c r="F13" s="22" t="s">
        <v>166</v>
      </c>
      <c r="G13" s="23"/>
    </row>
    <row r="14" spans="2:16" s="22" customFormat="1">
      <c r="B14" s="22" t="s">
        <v>34</v>
      </c>
      <c r="E14" s="214">
        <v>10</v>
      </c>
      <c r="F14" s="22" t="s">
        <v>33</v>
      </c>
      <c r="G14" s="23"/>
    </row>
    <row r="15" spans="2:16" s="22" customFormat="1">
      <c r="B15" s="22" t="s">
        <v>35</v>
      </c>
      <c r="E15" s="215">
        <v>2</v>
      </c>
      <c r="F15" s="22" t="s">
        <v>165</v>
      </c>
      <c r="G15" s="23"/>
    </row>
    <row r="16" spans="2:16" s="22" customFormat="1">
      <c r="B16" s="22" t="s">
        <v>36</v>
      </c>
      <c r="E16" s="214">
        <v>6</v>
      </c>
      <c r="F16" s="22" t="s">
        <v>37</v>
      </c>
      <c r="G16" s="23"/>
    </row>
    <row r="17" spans="2:7" s="22" customFormat="1">
      <c r="B17" s="22" t="s">
        <v>38</v>
      </c>
      <c r="E17" s="215">
        <v>0</v>
      </c>
      <c r="F17" s="22" t="s">
        <v>166</v>
      </c>
      <c r="G17" s="23"/>
    </row>
    <row r="18" spans="2:7" s="22" customFormat="1">
      <c r="G18" s="23"/>
    </row>
    <row r="19" spans="2:7" s="22" customFormat="1">
      <c r="B19" s="27" t="s">
        <v>40</v>
      </c>
      <c r="G19" s="23"/>
    </row>
    <row r="20" spans="2:7" s="22" customFormat="1">
      <c r="B20" s="22" t="s">
        <v>31</v>
      </c>
      <c r="E20" s="207" t="s">
        <v>150</v>
      </c>
      <c r="G20" s="23"/>
    </row>
    <row r="21" spans="2:7" s="22" customFormat="1">
      <c r="B21" s="22" t="s">
        <v>32</v>
      </c>
      <c r="E21" s="213">
        <v>3333</v>
      </c>
      <c r="F21" s="22" t="s">
        <v>166</v>
      </c>
      <c r="G21" s="23"/>
    </row>
    <row r="22" spans="2:7" s="22" customFormat="1">
      <c r="B22" s="22" t="s">
        <v>34</v>
      </c>
      <c r="E22" s="214">
        <v>10</v>
      </c>
      <c r="F22" s="22" t="s">
        <v>33</v>
      </c>
      <c r="G22" s="23"/>
    </row>
    <row r="23" spans="2:7" s="22" customFormat="1">
      <c r="B23" s="22" t="s">
        <v>35</v>
      </c>
      <c r="E23" s="215">
        <v>2</v>
      </c>
      <c r="F23" s="22" t="s">
        <v>165</v>
      </c>
      <c r="G23" s="23"/>
    </row>
    <row r="24" spans="2:7" s="22" customFormat="1">
      <c r="B24" s="22" t="s">
        <v>36</v>
      </c>
      <c r="E24" s="214">
        <v>6</v>
      </c>
      <c r="F24" s="22" t="s">
        <v>37</v>
      </c>
      <c r="G24" s="23"/>
    </row>
    <row r="25" spans="2:7" s="22" customFormat="1">
      <c r="B25" s="22" t="s">
        <v>38</v>
      </c>
      <c r="E25" s="215">
        <v>0</v>
      </c>
      <c r="F25" s="22" t="s">
        <v>166</v>
      </c>
      <c r="G25" s="23"/>
    </row>
    <row r="26" spans="2:7" s="22" customFormat="1">
      <c r="G26" s="23"/>
    </row>
    <row r="27" spans="2:7"/>
    <row r="28" spans="2:7"/>
  </sheetData>
  <sheetProtection algorithmName="SHA-512" hashValue="jYyGz1Df8hY73sTxrZX32/AK+IOb3LcDoe78Ua+XwbGvOMqFGCLtUyyaF4BYTTcAdXLWs481tdGFlhxgu5PTRw==" saltValue="H/uK+Pv1G1kstQnojHN9hQ==" spinCount="100000" sheet="1" objects="1" scenarios="1"/>
  <mergeCells count="1">
    <mergeCell ref="B1:F1"/>
  </mergeCells>
  <dataValidations count="1">
    <dataValidation type="list" allowBlank="1" showInputMessage="1" showErrorMessage="1" sqref="E20 E12 E4" xr:uid="{00000000-0002-0000-0200-000000000000}">
      <formula1>"Annuitätendarlehen,Ratendarlehen,Restwertdarlehen"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AY48"/>
  <sheetViews>
    <sheetView zoomScale="80" zoomScaleNormal="80" workbookViewId="0">
      <selection sqref="A1:F1"/>
    </sheetView>
  </sheetViews>
  <sheetFormatPr baseColWidth="10" defaultColWidth="0" defaultRowHeight="15" zeroHeight="1"/>
  <cols>
    <col min="1" max="1" width="11" style="116" customWidth="1"/>
    <col min="2" max="2" width="14.125" style="116" customWidth="1"/>
    <col min="3" max="3" width="13.875" style="116" customWidth="1"/>
    <col min="4" max="5" width="17.125" style="116" hidden="1" customWidth="1"/>
    <col min="6" max="6" width="14" style="116" customWidth="1"/>
    <col min="7" max="7" width="12.125" style="116" customWidth="1"/>
    <col min="8" max="8" width="14.625" style="116" customWidth="1"/>
    <col min="9" max="9" width="15.125" style="116" customWidth="1"/>
    <col min="10" max="10" width="15.25" style="116" customWidth="1"/>
    <col min="11" max="11" width="13.875" style="116" customWidth="1"/>
    <col min="12" max="12" width="13.625" style="116" customWidth="1"/>
    <col min="13" max="13" width="12.5" style="116" customWidth="1"/>
    <col min="14" max="14" width="13.875" style="116" customWidth="1"/>
    <col min="15" max="15" width="13.25" style="116" customWidth="1"/>
    <col min="16" max="16" width="13.875" style="116" customWidth="1"/>
    <col min="17" max="17" width="15.75" style="116" customWidth="1"/>
    <col min="18" max="18" width="12" style="116" customWidth="1"/>
    <col min="19" max="19" width="13.5" style="116" customWidth="1"/>
    <col min="20" max="20" width="14" style="116" customWidth="1"/>
    <col min="21" max="21" width="13.625" style="116" customWidth="1"/>
    <col min="22" max="25" width="17.125" style="116" customWidth="1"/>
    <col min="26" max="27" width="17.125" style="116" hidden="1" customWidth="1"/>
    <col min="28" max="28" width="17.125" style="116" customWidth="1"/>
    <col min="29" max="38" width="17.125" style="116" hidden="1" customWidth="1"/>
    <col min="39" max="39" width="19.125" style="116" customWidth="1"/>
    <col min="40" max="40" width="17.125" style="116" customWidth="1"/>
    <col min="41" max="41" width="12.375" style="116" customWidth="1"/>
    <col min="42" max="42" width="14.5" style="116" customWidth="1"/>
    <col min="43" max="43" width="12.875" style="116" customWidth="1"/>
    <col min="44" max="44" width="11.5" style="116" customWidth="1"/>
    <col min="45" max="45" width="13.75" style="116" customWidth="1"/>
    <col min="46" max="46" width="13.5" style="116" customWidth="1"/>
    <col min="47" max="47" width="14.625" style="116" customWidth="1"/>
    <col min="48" max="49" width="14" style="116" customWidth="1"/>
    <col min="50" max="50" width="14.25" style="116" customWidth="1"/>
    <col min="51" max="51" width="12.875" style="116" customWidth="1"/>
    <col min="52" max="52" width="3.125" style="109" customWidth="1"/>
    <col min="53" max="16384" width="0" style="109" hidden="1"/>
  </cols>
  <sheetData>
    <row r="1" spans="1:51" s="102" customFormat="1" ht="35.1" customHeight="1">
      <c r="A1" s="241" t="s">
        <v>242</v>
      </c>
      <c r="B1" s="239"/>
      <c r="C1" s="239"/>
      <c r="D1" s="239"/>
      <c r="E1" s="239"/>
      <c r="F1" s="239"/>
      <c r="H1" s="101"/>
      <c r="N1" s="101"/>
      <c r="V1" s="101" t="str">
        <f>A1</f>
        <v>Renditerechner für Photovoltaik-Anlagen
- Steuerliche Gewinnermittlung -</v>
      </c>
      <c r="AN1" s="101"/>
    </row>
    <row r="2" spans="1:51" s="104" customFormat="1" ht="1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</row>
    <row r="3" spans="1:51" s="105" customFormat="1" ht="13.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0" t="s">
        <v>104</v>
      </c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 t="s">
        <v>107</v>
      </c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</row>
    <row r="4" spans="1:51" s="104" customFormat="1" ht="13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</row>
    <row r="5" spans="1:51" s="105" customFormat="1" ht="24.75" customHeight="1" thickBot="1">
      <c r="A5" s="106"/>
      <c r="B5" s="243" t="s">
        <v>90</v>
      </c>
      <c r="C5" s="243"/>
      <c r="D5" s="243"/>
      <c r="E5" s="243"/>
      <c r="F5" s="243"/>
      <c r="G5" s="243"/>
      <c r="H5" s="106"/>
      <c r="I5" s="243" t="s">
        <v>91</v>
      </c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107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</row>
    <row r="6" spans="1:51" ht="60">
      <c r="A6" s="167" t="s">
        <v>73</v>
      </c>
      <c r="B6" s="108" t="s">
        <v>82</v>
      </c>
      <c r="C6" s="108" t="s">
        <v>210</v>
      </c>
      <c r="D6" s="108" t="s">
        <v>133</v>
      </c>
      <c r="E6" s="108" t="s">
        <v>134</v>
      </c>
      <c r="F6" s="108" t="s">
        <v>223</v>
      </c>
      <c r="G6" s="108" t="s">
        <v>87</v>
      </c>
      <c r="H6" s="163" t="s">
        <v>83</v>
      </c>
      <c r="I6" s="108" t="s">
        <v>84</v>
      </c>
      <c r="J6" s="108" t="s">
        <v>85</v>
      </c>
      <c r="K6" s="108" t="s">
        <v>86</v>
      </c>
      <c r="L6" s="108" t="s">
        <v>214</v>
      </c>
      <c r="M6" s="108" t="s">
        <v>215</v>
      </c>
      <c r="N6" s="108" t="s">
        <v>45</v>
      </c>
      <c r="O6" s="108" t="s">
        <v>224</v>
      </c>
      <c r="P6" s="108" t="s">
        <v>225</v>
      </c>
      <c r="Q6" s="108" t="s">
        <v>89</v>
      </c>
      <c r="R6" s="108" t="s">
        <v>216</v>
      </c>
      <c r="S6" s="108" t="s">
        <v>88</v>
      </c>
      <c r="T6" s="108" t="s">
        <v>218</v>
      </c>
      <c r="U6" s="163" t="s">
        <v>226</v>
      </c>
      <c r="V6" s="169" t="s">
        <v>171</v>
      </c>
      <c r="W6" s="108" t="s">
        <v>98</v>
      </c>
      <c r="X6" s="108" t="s">
        <v>97</v>
      </c>
      <c r="Y6" s="108" t="s">
        <v>162</v>
      </c>
      <c r="Z6" s="108" t="s">
        <v>99</v>
      </c>
      <c r="AA6" s="108" t="s">
        <v>100</v>
      </c>
      <c r="AB6" s="108" t="s">
        <v>179</v>
      </c>
      <c r="AC6" s="108" t="s">
        <v>101</v>
      </c>
      <c r="AD6" s="108" t="s">
        <v>178</v>
      </c>
      <c r="AE6" s="108" t="s">
        <v>177</v>
      </c>
      <c r="AF6" s="108" t="s">
        <v>176</v>
      </c>
      <c r="AG6" s="108" t="s">
        <v>175</v>
      </c>
      <c r="AH6" s="108" t="s">
        <v>102</v>
      </c>
      <c r="AI6" s="108" t="s">
        <v>172</v>
      </c>
      <c r="AJ6" s="108" t="s">
        <v>103</v>
      </c>
      <c r="AK6" s="108" t="s">
        <v>185</v>
      </c>
      <c r="AL6" s="108" t="s">
        <v>173</v>
      </c>
      <c r="AM6" s="163" t="s">
        <v>152</v>
      </c>
      <c r="AN6" s="169" t="s">
        <v>174</v>
      </c>
      <c r="AO6" s="108" t="s">
        <v>227</v>
      </c>
      <c r="AP6" s="108" t="s">
        <v>228</v>
      </c>
      <c r="AQ6" s="108" t="s">
        <v>229</v>
      </c>
      <c r="AR6" s="108" t="s">
        <v>231</v>
      </c>
      <c r="AS6" s="108" t="s">
        <v>230</v>
      </c>
      <c r="AT6" s="108" t="s">
        <v>232</v>
      </c>
      <c r="AU6" s="108" t="s">
        <v>105</v>
      </c>
      <c r="AV6" s="108" t="s">
        <v>233</v>
      </c>
      <c r="AW6" s="108" t="s">
        <v>234</v>
      </c>
      <c r="AX6" s="108" t="s">
        <v>106</v>
      </c>
      <c r="AY6" s="163" t="s">
        <v>221</v>
      </c>
    </row>
    <row r="7" spans="1:51">
      <c r="A7" s="171">
        <f>EDATE(A8,-12)</f>
        <v>43831</v>
      </c>
      <c r="B7" s="110">
        <v>0</v>
      </c>
      <c r="C7" s="111">
        <v>0</v>
      </c>
      <c r="D7" s="111"/>
      <c r="E7" s="111"/>
      <c r="F7" s="111">
        <v>0</v>
      </c>
      <c r="G7" s="111">
        <v>0</v>
      </c>
      <c r="H7" s="164">
        <f>C7+F7+G7</f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f>IF(Eingabe!E64="Ja",'Absetzung für Abnutzung'!E6*Eingabe!E65,0)</f>
        <v>5400</v>
      </c>
      <c r="R7" s="111">
        <v>0</v>
      </c>
      <c r="S7" s="111">
        <v>0</v>
      </c>
      <c r="T7" s="111">
        <v>0</v>
      </c>
      <c r="U7" s="168">
        <f>C7+F7+G7-I7-J7-K7-L7-M7-N7-O7-P7-Q7-S7</f>
        <v>-5400</v>
      </c>
      <c r="V7" s="173">
        <f>EDATE(V8,-12)</f>
        <v>43831</v>
      </c>
      <c r="W7" s="111">
        <f>Eingabe!$E$54</f>
        <v>30000</v>
      </c>
      <c r="X7" s="111">
        <f t="shared" ref="X7:X38" si="0">W7+U7</f>
        <v>24600</v>
      </c>
      <c r="Y7" s="111">
        <f ca="1">IF(Eingabe!$E$51="Nein",'Steuerliche Gewinnermittlung'!Z7,IF(Eingabe!$E$51="Ja",'Steuerliche Gewinnermittlung'!AA7,0))</f>
        <v>-1570</v>
      </c>
      <c r="Z7" s="111">
        <f ca="1">ROUNDDOWN(IF(X7&lt;=9984,0,IF(AND(X7&gt;=9985,X7&lt;=14926),(1008.7*(ROUNDDOWN(X7,0)-9984)/10000+1400)*(ROUNDDOWN(X7,0)-9984)/10000,IF(AND(X7&gt;=14927,X7&lt;=58596),(206.43*(ROUNDDOWN(X7,0)-14926)/10000+2397)*(ROUNDDOWN(X7,0)-14926)/10000+938.24,IF(AND(X7&gt;=58597,X7&lt;=277825),0.42*ROUNDDOWN(X7,0)-9267.53,IF(X7&gt;277825,0.45*ROUNDDOWN(X7,0)-17602.28,0))))),0)-ROUNDUP(MIN(AW7*4,AY7,MAX((X7-W7)/X7*AE7,0)),0)-ROUNDDOWN(IF(W7&lt;=9984,0,IF(AND(W7&gt;=9985,W7&lt;=14926),(1008.7*(ROUNDDOWN(W7,0)-9984)/10000+1400)*(ROUNDDOWN(W7,0)-9984)/10000,IF(AND(W7&gt;=14927,W7&lt;=58596),(206.43*(ROUNDDOWN(W7,0)-14926)/10000+2397)*(ROUNDDOWN(W7,0)-14926)/10000+938.24,IF(AND(W7&gt;=58597,W7&lt;=277825),0.42*ROUNDDOWN(W7,0)-9267.53,IF(W7&gt;277825,0.45*ROUNDDOWN(W7,0)-17602.28,0))))),0)</f>
        <v>-1570</v>
      </c>
      <c r="AA7" s="111">
        <f ca="1">(ROUNDDOWN(IF(X7/2&lt;=9984,0,IF(AND(X7/2&gt;=9985,X7/2&lt;=14926),(1008.7*(ROUNDDOWN(X7/2,0)-9984)/10000+1400)*(ROUNDDOWN(X7/2,0)-9984)/10000,IF(AND(X7/2&gt;=14927,X7/2&lt;=58596),(206.43*(ROUNDDOWN(X7/2,0)-14926)/10000+2397)*(ROUNDDOWN(X7/2,0)-14926)/10000+938.24,IF(AND(X7/2&gt;=58597,X7/2&lt;=277825),0.42*ROUNDDOWN(X7/2,0)-9267.53,IF(X7/2&gt;277825,0.45*ROUNDDOWN(X7/2,0)-17602.28,0))))),0))*2-ROUNDUP(MIN(AW7*4,AY7,MAX((X7-W7)/X7*AJ7,0)),0)-(ROUNDDOWN(IF(W7/2&lt;=9984,0,IF(AND(W7/2&gt;=9985,W7/2&lt;=14926),(1008.7*(ROUNDDOWN(W7/2,0)-9984)/10000+1400)*(ROUNDDOWN(W7/2,0)-9984)/10000,IF(AND(W7/2&gt;=14927,W7/2&lt;=58596),(206.43*(ROUNDDOWN(W7/2,0)-14926)/10000+2397)*(ROUNDDOWN(W7/2,0)-14926)/10000+938.24,IF(AND(W7/2&gt;=58597,W7/2&lt;=277825),0.42*ROUNDDOWN(W7/2,0)-9267.53,IF(W7/2&gt;277825,0.45*ROUNDDOWN(W7/2,0)-17602.28,0))))),0))*2</f>
        <v>-1154</v>
      </c>
      <c r="AB7" s="111">
        <f ca="1">IF(Eingabe!$E$51="Nein",'Steuerliche Gewinnermittlung'!AG7-'Steuerliche Gewinnermittlung'!AD7,IF(Eingabe!$E$51="Ja",'Steuerliche Gewinnermittlung'!AL7-'Steuerliche Gewinnermittlung'!AI7,0))</f>
        <v>0</v>
      </c>
      <c r="AC7" s="111">
        <f>ROUNDDOWN(IF(W7&lt;=9984,0,IF(AND(W7&gt;=9985,W7&lt;=14926),(1008.7*(ROUNDDOWN(W7,0)-9984)/10000+1400)*(ROUNDDOWN(W7,0)-9984)/10000,IF(AND(W7&gt;=14927,W7&lt;=58596),(206.43*(ROUNDDOWN(W7,0)-14926)/10000+2397)*(ROUNDDOWN(W7,0)-14926)/10000+938.24,IF(AND(W7&gt;=58597,W7&lt;=277825),0.42*ROUNDDOWN(W7,0)-9267.53,IF(W7&gt;277825,0.45*ROUNDDOWN(W7,0)-17602.28,0))))),0)</f>
        <v>5020</v>
      </c>
      <c r="AD7" s="111">
        <f>IF(AC7&gt;16956,MIN(11.9%*(AC7-16956),ROUND(AC7*5.5%,2)),0)</f>
        <v>0</v>
      </c>
      <c r="AE7" s="111">
        <f>ROUNDDOWN(IF(X7&lt;=9984,0,IF(AND(X7&gt;=9985,X7&lt;=14926),(1008.7*(ROUNDDOWN(X7,0)-9984)/10000+1400)*(ROUNDDOWN(X7,0)-9984)/10000,IF(AND(X7&gt;=14927,X7&lt;=58596),(206.43*(ROUNDDOWN(X7,0)-14926)/10000+2397)*(ROUNDDOWN(X7,0)-14926)/10000+938.24,IF(AND(X7&gt;=58597,X7&lt;=277825),0.42*ROUNDDOWN(X7,0)-9267.53,IF(X7&gt;277825,0.45*ROUNDDOWN(X7,0)-17602.28,0))))),0)</f>
        <v>3450</v>
      </c>
      <c r="AF7" s="111">
        <f ca="1">MIN(AW7*4,AY7,MAX((X7-W7)/X7*AE7,0))</f>
        <v>0</v>
      </c>
      <c r="AG7" s="111">
        <f ca="1">IF((AE7-AF7)&gt;16956,MIN(11.9%*(AE7-AF7-16956),ROUND((AE7-AF7)*5.5%,2)),0)</f>
        <v>0</v>
      </c>
      <c r="AH7" s="111">
        <f>(ROUNDDOWN(IF(W7/2&lt;=9984,0,IF(AND(W7/2&gt;=9985,W7/2&lt;=14926),(1008.7*(ROUNDDOWN(W7/2,0)-9984)/10000+1400)*(ROUNDDOWN(W7/2,0)-9984)/10000,IF(AND(W7/2&gt;=14927,W7/2&lt;=58596),(206.43*(ROUNDDOWN(W7/2,0)-14926)/10000+2397)*(ROUNDDOWN(W7/2,0)-14926)/10000+938.24,IF(AND(W7/2&gt;=58597,W7/2&lt;=277825),0.42*ROUNDDOWN(W7/2,0)-9267.53,IF(W7/2&gt;277825,0.45*ROUNDDOWN(W7/2,0)-17602.28,0))))),0))*2</f>
        <v>1910</v>
      </c>
      <c r="AI7" s="111">
        <f>IF(AH7&gt;33912,MIN(11.9%*(AH7-33912),ROUND(AH7*5.5%,2)),0)</f>
        <v>0</v>
      </c>
      <c r="AJ7" s="111">
        <f>(ROUNDDOWN(IF(X7/2&lt;=9984,0,IF(AND(X7/2&gt;=9985,X7/2&lt;=14926),(1008.7*(ROUNDDOWN(X7/2,0)-9984)/10000+1400)*(ROUNDDOWN(X7/2,0)-9984)/10000,IF(AND(X7/2&gt;=14927,X7/2&lt;=58596),(206.43*(ROUNDDOWN(X7/2,0)-14926)/10000+2397)*(ROUNDDOWN(X7/2,0)-14926)/10000+938.24,IF(AND(X7/2&gt;=58597,X7/2&lt;=277825),0.42*ROUNDDOWN(X7/2,0)-9267.53,IF(X7/2&gt;277825,0.45*ROUNDDOWN(X7/2,0)-17602.28,0))))),0))*2</f>
        <v>756</v>
      </c>
      <c r="AK7" s="111">
        <f ca="1">MIN(AW7*4,AY7,MAX((X7-W7)/X7*AJ7,0))</f>
        <v>0</v>
      </c>
      <c r="AL7" s="111">
        <f ca="1">IF((AJ7-AK7)&gt;33912,MIN(11.9%*(AJ7-AK7-33912),ROUND((AJ7-AK7)*5.5%,2)),0)</f>
        <v>0</v>
      </c>
      <c r="AM7" s="168">
        <f t="shared" ref="AM7:AM38" ca="1" si="1">Y7+AB7</f>
        <v>-1570</v>
      </c>
      <c r="AN7" s="173">
        <f>EDATE(AN8,-12)</f>
        <v>43831</v>
      </c>
      <c r="AO7" s="111">
        <v>0</v>
      </c>
      <c r="AP7" s="111">
        <f ca="1">(MAX((S8+T8+K8*20%)-100000,0)*25%)</f>
        <v>0</v>
      </c>
      <c r="AQ7" s="111">
        <f t="shared" ref="AQ7:AQ38" ca="1" si="2">AO7+AP7</f>
        <v>0</v>
      </c>
      <c r="AR7" s="111">
        <f ca="1">IF(AQ7&lt;0,-AQ7,0)</f>
        <v>0</v>
      </c>
      <c r="AS7" s="111">
        <v>0</v>
      </c>
      <c r="AT7" s="111">
        <f t="shared" ref="AT7:AT38" ca="1" si="3">AQ7-AS7</f>
        <v>0</v>
      </c>
      <c r="AU7" s="111">
        <v>24500</v>
      </c>
      <c r="AV7" s="111">
        <f t="shared" ref="AV7:AV38" ca="1" si="4">ROUNDDOWN(MAX(AT7-AU7,0),-2)</f>
        <v>0</v>
      </c>
      <c r="AW7" s="111">
        <f t="shared" ref="AW7:AW38" ca="1" si="5">AV7*3.5%</f>
        <v>0</v>
      </c>
      <c r="AX7" s="112">
        <f>Eingabe!$E$70</f>
        <v>4.4000000000000004</v>
      </c>
      <c r="AY7" s="168">
        <f ca="1">ROUNDDOWN(AW7*AX7,0)</f>
        <v>0</v>
      </c>
    </row>
    <row r="8" spans="1:51">
      <c r="A8" s="171">
        <f>DATE(YEAR(Eingabe!E12),1,1)</f>
        <v>44197</v>
      </c>
      <c r="B8" s="110">
        <f>Eingabe!E18*Eingabe!E16</f>
        <v>6890</v>
      </c>
      <c r="C8" s="111">
        <f>B8*Eingabe!$E$34*Eingabe!$E$23</f>
        <v>496.08</v>
      </c>
      <c r="D8" s="111"/>
      <c r="E8" s="111">
        <f>Eingabe!E25</f>
        <v>0.28179999999999999</v>
      </c>
      <c r="F8" s="111">
        <f ca="1">(I8+J8+K8+L8+M8+S8+'Absetzung für Abnutzung'!E6*'Absetzung für Abnutzung'!E10*'Absetzung für Abnutzung'!J8/12)*Eingabe!$E$35</f>
        <v>175.31206387676843</v>
      </c>
      <c r="G8" s="111">
        <f>IF(Eingabe!$E$48="Nein",B8*Eingabe!$E$35*'Steuerliche Gewinnermittlung'!E8/1.19*19%,0)</f>
        <v>62.000736134453781</v>
      </c>
      <c r="H8" s="164">
        <f t="shared" ref="H8:H38" ca="1" si="6">C8+F8+G8</f>
        <v>733.39280001122211</v>
      </c>
      <c r="I8" s="111">
        <f>IF(Eingabe!$E$48="Nein",Eingabe!E39*'Absetzung für Abnutzung'!$J$8/12,IF(Eingabe!$E$48="Ja",(Eingabe!E39*'Absetzung für Abnutzung'!$J$8/12)*1.19,0))</f>
        <v>166.66666666666666</v>
      </c>
      <c r="J8" s="111">
        <f>Eingabe!E40*'Absetzung für Abnutzung'!$J$8/12</f>
        <v>66.666666666666671</v>
      </c>
      <c r="K8" s="111">
        <f>IF(Eingabe!$E$48="Nein",Eingabe!E41*'Absetzung für Abnutzung'!$J$8/12,IF(Eingabe!$E$48="Ja",(Eingabe!E41*'Absetzung für Abnutzung'!$J$8/12)*1.19,0))</f>
        <v>20</v>
      </c>
      <c r="L8" s="111">
        <f>IF(Eingabe!$E$48="Nein",Eingabe!E42*'Absetzung für Abnutzung'!$J$8/12,IF(Eingabe!$E$48="Ja",(Eingabe!E42*'Absetzung für Abnutzung'!$J$8/12)*1.19,0))</f>
        <v>33.333333333333336</v>
      </c>
      <c r="M8" s="111">
        <f>IF(Eingabe!$E$48="Nein",Eingabe!E43*'Absetzung für Abnutzung'!$J$8/12,IF(Eingabe!$E$48="Ja",(Eingabe!E43*'Absetzung für Abnutzung'!$J$8/12)*1.19,0))</f>
        <v>6.666666666666667</v>
      </c>
      <c r="N8" s="111">
        <f>'Absetzung für Abnutzung'!D14</f>
        <v>270</v>
      </c>
      <c r="O8" s="111">
        <f>'Absetzung für Abnutzung'!E14</f>
        <v>1620</v>
      </c>
      <c r="P8" s="111">
        <f>'Absetzung für Abnutzung'!E7</f>
        <v>5400</v>
      </c>
      <c r="Q8" s="111">
        <f>-Q7</f>
        <v>-5400</v>
      </c>
      <c r="R8" s="111">
        <f t="shared" ref="R8:R38" si="7">G8</f>
        <v>62.000736134453781</v>
      </c>
      <c r="S8" s="111">
        <f ca="1">'Darlehen 1'!H20+'Darlehen 2'!H20+'Darlehen 3'!H20</f>
        <v>133.22698605050911</v>
      </c>
      <c r="T8" s="111">
        <f ca="1">-Konten!D8</f>
        <v>0</v>
      </c>
      <c r="U8" s="168">
        <f ca="1">C8+F8+G8-I8-J8-K8-L8-M8-N8-O8-P8-Q8-R8-S8-T8</f>
        <v>-1645.168255507074</v>
      </c>
      <c r="V8" s="173">
        <f>DATE(YEAR(Eingabe!E12),1,1)</f>
        <v>44197</v>
      </c>
      <c r="W8" s="111">
        <f>Eingabe!$E$54</f>
        <v>30000</v>
      </c>
      <c r="X8" s="111">
        <f t="shared" ca="1" si="0"/>
        <v>28354.831744492927</v>
      </c>
      <c r="Y8" s="111">
        <f ca="1">IF(Eingabe!$E$51="Nein",'Steuerliche Gewinnermittlung'!Z8,IF(Eingabe!$E$51="Ja",'Steuerliche Gewinnermittlung'!AA8,0))</f>
        <v>-491</v>
      </c>
      <c r="Z8" s="111">
        <f t="shared" ref="Z8:Z38" ca="1" si="8">ROUNDDOWN(IF(X8&lt;=9984,0,IF(AND(X8&gt;=9985,X8&lt;=14926),(1008.7*(ROUNDDOWN(X8,0)-9984)/10000+1400)*(ROUNDDOWN(X8,0)-9984)/10000,IF(AND(X8&gt;=14927,X8&lt;=58596),(206.43*(ROUNDDOWN(X8,0)-14926)/10000+2397)*(ROUNDDOWN(X8,0)-14926)/10000+938.24,IF(AND(X8&gt;=58597,X8&lt;=277825),0.42*ROUNDDOWN(X8,0)-9267.53,IF(X8&gt;277825,0.45*ROUNDDOWN(X8,0)-17602.28,0))))),0)-ROUNDUP(MIN(AW8*4,AY8,MAX((X8-W8)/X8*AE8,0)),0)-ROUNDDOWN(IF(W8&lt;=9984,0,IF(AND(W8&gt;=9985,W8&lt;=14926),(1008.7*(ROUNDDOWN(W8,0)-9984)/10000+1400)*(ROUNDDOWN(W8,0)-9984)/10000,IF(AND(W8&gt;=14927,W8&lt;=58596),(206.43*(ROUNDDOWN(W8,0)-14926)/10000+2397)*(ROUNDDOWN(W8,0)-14926)/10000+938.24,IF(AND(W8&gt;=58597,W8&lt;=277825),0.42*ROUNDDOWN(W8,0)-9267.53,IF(W8&gt;277825,0.45*ROUNDDOWN(W8,0)-17602.28,0))))),0)</f>
        <v>-491</v>
      </c>
      <c r="AA8" s="111">
        <f t="shared" ref="AA8:AA38" ca="1" si="9">(ROUNDDOWN(IF(X8/2&lt;=9984,0,IF(AND(X8/2&gt;=9985,X8/2&lt;=14926),(1008.7*(ROUNDDOWN(X8/2,0)-9984)/10000+1400)*(ROUNDDOWN(X8/2,0)-9984)/10000,IF(AND(X8/2&gt;=14927,X8/2&lt;=58596),(206.43*(ROUNDDOWN(X8/2,0)-14926)/10000+2397)*(ROUNDDOWN(X8/2,0)-14926)/10000+938.24,IF(AND(X8/2&gt;=58597,X8/2&lt;=277825),0.42*ROUNDDOWN(X8/2,0)-9267.53,IF(X8/2&gt;277825,0.45*ROUNDDOWN(X8/2,0)-17602.28,0))))),0))*2-ROUNDUP(MIN(AW8*4,AY8,MAX((X8-W8)/X8*AJ8,0)),0)-(ROUNDDOWN(IF(W8/2&lt;=9984,0,IF(AND(W8/2&gt;=9985,W8/2&lt;=14926),(1008.7*(ROUNDDOWN(W8/2,0)-9984)/10000+1400)*(ROUNDDOWN(W8/2,0)-9984)/10000,IF(AND(W8/2&gt;=14927,W8/2&lt;=58596),(206.43*(ROUNDDOWN(W8/2,0)-14926)/10000+2397)*(ROUNDDOWN(W8/2,0)-14926)/10000+938.24,IF(AND(W8/2&gt;=58597,W8/2&lt;=277825),0.42*ROUNDDOWN(W8/2,0)-9267.53,IF(W8/2&gt;277825,0.45*ROUNDDOWN(W8/2,0)-17602.28,0))))),0))*2</f>
        <v>-382</v>
      </c>
      <c r="AB8" s="111">
        <f ca="1">IF(Eingabe!$E$51="Nein",'Steuerliche Gewinnermittlung'!AG8-'Steuerliche Gewinnermittlung'!AD8,IF(Eingabe!$E$51="Ja",'Steuerliche Gewinnermittlung'!AL8-'Steuerliche Gewinnermittlung'!AI8,0))</f>
        <v>0</v>
      </c>
      <c r="AC8" s="111">
        <f t="shared" ref="AC8:AC38" si="10">ROUNDDOWN(IF(W8&lt;=9984,0,IF(AND(W8&gt;=9985,W8&lt;=14926),(1008.7*(ROUNDDOWN(W8,0)-9984)/10000+1400)*(ROUNDDOWN(W8,0)-9984)/10000,IF(AND(W8&gt;=14927,W8&lt;=58596),(206.43*(ROUNDDOWN(W8,0)-14926)/10000+2397)*(ROUNDDOWN(W8,0)-14926)/10000+938.24,IF(AND(W8&gt;=58597,W8&lt;=277825),0.42*ROUNDDOWN(W8,0)-9267.53,IF(W8&gt;277825,0.45*ROUNDDOWN(W8,0)-17602.28,0))))),0)</f>
        <v>5020</v>
      </c>
      <c r="AD8" s="111">
        <f t="shared" ref="AD8:AD38" si="11">IF(AC8&gt;16956,MIN(11.9%*(AC8-16956),ROUND(AC8*5.5%,2)),0)</f>
        <v>0</v>
      </c>
      <c r="AE8" s="111">
        <f t="shared" ref="AE8:AE38" ca="1" si="12">ROUNDDOWN(IF(X8&lt;=9984,0,IF(AND(X8&gt;=9985,X8&lt;=14926),(1008.7*(ROUNDDOWN(X8,0)-9984)/10000+1400)*(ROUNDDOWN(X8,0)-9984)/10000,IF(AND(X8&gt;=14927,X8&lt;=58596),(206.43*(ROUNDDOWN(X8,0)-14926)/10000+2397)*(ROUNDDOWN(X8,0)-14926)/10000+938.24,IF(AND(X8&gt;=58597,X8&lt;=277825),0.42*ROUNDDOWN(X8,0)-9267.53,IF(X8&gt;277825,0.45*ROUNDDOWN(X8,0)-17602.28,0))))),0)</f>
        <v>4529</v>
      </c>
      <c r="AF8" s="111">
        <f t="shared" ref="AF8:AF38" ca="1" si="13">MIN(AW8*4,AY8,MAX((X8-W8)/X8*AE8,0))</f>
        <v>0</v>
      </c>
      <c r="AG8" s="111">
        <f t="shared" ref="AG8:AG38" ca="1" si="14">IF((AE8-AF8)&gt;16956,MIN(11.9%*(AE8-AF8-16956),ROUND((AE8-AF8)*5.5%,2)),0)</f>
        <v>0</v>
      </c>
      <c r="AH8" s="111">
        <f t="shared" ref="AH8:AH38" si="15">(ROUNDDOWN(IF(W8/2&lt;=9984,0,IF(AND(W8/2&gt;=9985,W8/2&lt;=14926),(1008.7*(ROUNDDOWN(W8/2,0)-9984)/10000+1400)*(ROUNDDOWN(W8/2,0)-9984)/10000,IF(AND(W8/2&gt;=14927,W8/2&lt;=58596),(206.43*(ROUNDDOWN(W8/2,0)-14926)/10000+2397)*(ROUNDDOWN(W8/2,0)-14926)/10000+938.24,IF(AND(W8/2&gt;=58597,W8/2&lt;=277825),0.42*ROUNDDOWN(W8/2,0)-9267.53,IF(W8/2&gt;277825,0.45*ROUNDDOWN(W8/2,0)-17602.28,0))))),0))*2</f>
        <v>1910</v>
      </c>
      <c r="AI8" s="111">
        <f t="shared" ref="AI8:AI38" si="16">IF(AH8&gt;33912,MIN(11.9%*(AH8-33912),ROUND(AH8*5.5%,2)),0)</f>
        <v>0</v>
      </c>
      <c r="AJ8" s="111">
        <f t="shared" ref="AJ8:AJ38" ca="1" si="17">(ROUNDDOWN(IF(X8/2&lt;=9984,0,IF(AND(X8/2&gt;=9985,X8/2&lt;=14926),(1008.7*(ROUNDDOWN(X8/2,0)-9984)/10000+1400)*(ROUNDDOWN(X8/2,0)-9984)/10000,IF(AND(X8/2&gt;=14927,X8/2&lt;=58596),(206.43*(ROUNDDOWN(X8/2,0)-14926)/10000+2397)*(ROUNDDOWN(X8/2,0)-14926)/10000+938.24,IF(AND(X8/2&gt;=58597,X8/2&lt;=277825),0.42*ROUNDDOWN(X8/2,0)-9267.53,IF(X8/2&gt;277825,0.45*ROUNDDOWN(X8/2,0)-17602.28,0))))),0))*2</f>
        <v>1528</v>
      </c>
      <c r="AK8" s="111">
        <f t="shared" ref="AK8:AK38" ca="1" si="18">MIN(AW8*4,AY8,MAX((X8-W8)/X8*AJ8,0))</f>
        <v>0</v>
      </c>
      <c r="AL8" s="111">
        <f t="shared" ref="AL8:AL38" ca="1" si="19">IF((AJ8-AK8)&gt;33912,MIN(11.9%*(AJ8-AK8-33912),ROUND((AJ8-AK8)*5.5%,2)),0)</f>
        <v>0</v>
      </c>
      <c r="AM8" s="168">
        <f t="shared" ca="1" si="1"/>
        <v>-491</v>
      </c>
      <c r="AN8" s="173">
        <f>DATE(YEAR(Eingabe!E12),1,1)</f>
        <v>44197</v>
      </c>
      <c r="AO8" s="111">
        <f>IF(Eingabe!$E$71="JA",0,U8)</f>
        <v>0</v>
      </c>
      <c r="AP8" s="111">
        <f t="shared" ref="AP8:AP38" ca="1" si="20">(MAX((S9+T9+K9*20%)-100000,0)*25%)</f>
        <v>0</v>
      </c>
      <c r="AQ8" s="111">
        <f t="shared" ca="1" si="2"/>
        <v>0</v>
      </c>
      <c r="AR8" s="111">
        <f t="shared" ref="AR8:AR38" ca="1" si="21">IF(AQ8&lt;0,-AQ8+AR7,IF(AQ8&gt;=0,AR7-AS8,0))</f>
        <v>0</v>
      </c>
      <c r="AS8" s="111">
        <f t="shared" ref="AS8:AS38" ca="1" si="22">IF(AND(AQ8&gt;=0,AQ8&gt;=AR7,AQ8&lt;=1000000),AR7,IF(AND(AQ8&gt;=0,AR7&gt;AQ8,AQ8&lt;=1000000),AQ8,IF(AND(AQ8&gt;1000000,AR7&lt;=1000000),AR7,IF(AND(AQ8&gt;1000000,AR7&gt;1000000),MIN(1000000+(AQ8-1000000)*60%,AR7),0))))</f>
        <v>0</v>
      </c>
      <c r="AT8" s="111">
        <f t="shared" ca="1" si="3"/>
        <v>0</v>
      </c>
      <c r="AU8" s="111">
        <v>24500</v>
      </c>
      <c r="AV8" s="111">
        <f t="shared" ca="1" si="4"/>
        <v>0</v>
      </c>
      <c r="AW8" s="111">
        <f t="shared" ca="1" si="5"/>
        <v>0</v>
      </c>
      <c r="AX8" s="112">
        <f>Eingabe!$E$70</f>
        <v>4.4000000000000004</v>
      </c>
      <c r="AY8" s="168">
        <f t="shared" ref="AY8:AY38" ca="1" si="23">ROUNDDOWN(AW8*AX8,0)</f>
        <v>0</v>
      </c>
    </row>
    <row r="9" spans="1:51">
      <c r="A9" s="171">
        <f t="shared" ref="A9:A38" si="24">EDATE(A8,12)</f>
        <v>44562</v>
      </c>
      <c r="B9" s="110">
        <f>Eingabe!E17*Eingabe!E16*(1-Eingabe!E19)</f>
        <v>9701.25</v>
      </c>
      <c r="C9" s="111">
        <f>B9*Eingabe!$E$34*Eingabe!$E$23</f>
        <v>698.49</v>
      </c>
      <c r="D9" s="111"/>
      <c r="E9" s="111">
        <f>E8*(1+Eingabe!$E$30)</f>
        <v>0.28602699999999998</v>
      </c>
      <c r="F9" s="111">
        <f ca="1">(I9+J9+K9+L9+M9+S9+'Absetzung für Abnutzung'!$E$6*'Absetzung für Abnutzung'!$E$10)*Eingabe!$E$35</f>
        <v>262.63635084563896</v>
      </c>
      <c r="G9" s="111">
        <f>IF(Eingabe!$E$48="Nein",B9*Eingabe!$E$35*'Steuerliche Gewinnermittlung'!E9/1.19*19%,0)</f>
        <v>88.607679397058803</v>
      </c>
      <c r="H9" s="164">
        <f t="shared" ca="1" si="6"/>
        <v>1049.7340302426978</v>
      </c>
      <c r="I9" s="111">
        <f>IF(Eingabe!$E$48="Nein",Eingabe!E39*(1+Eingabe!$E$29),IF(Eingabe!$E$48="Ja",(Eingabe!E39*(1+Eingabe!$E$29))*1.19,0))</f>
        <v>253.74999999999997</v>
      </c>
      <c r="J9" s="111">
        <f>Eingabe!E40*(1+Eingabe!$E$29)</f>
        <v>101.49999999999999</v>
      </c>
      <c r="K9" s="111">
        <f>IF(Eingabe!$E$48="Nein",Eingabe!E41*(1+Eingabe!$E$29),IF(Eingabe!$E$48="Ja",(Eingabe!E41*(1+Eingabe!$E$29))*1.19,0))</f>
        <v>30.449999999999996</v>
      </c>
      <c r="L9" s="111">
        <f>IF(Eingabe!$E$48="Nein",Eingabe!E42*(1+Eingabe!$E$29),IF(Eingabe!$E$48="Ja",(Eingabe!E42*(1+Eingabe!$E$29))*1.19,0))</f>
        <v>50.749999999999993</v>
      </c>
      <c r="M9" s="111">
        <f>IF(Eingabe!$E$48="Nein",Eingabe!E43*(1+Eingabe!$E$29),IF(Eingabe!$E$48="Ja",(Eingabe!E43*(1+Eingabe!$E$29))*1.19,0))</f>
        <v>10.149999999999999</v>
      </c>
      <c r="N9" s="111">
        <f>'Absetzung für Abnutzung'!D15</f>
        <v>405</v>
      </c>
      <c r="O9" s="111">
        <f>'Absetzung für Abnutzung'!E15</f>
        <v>0</v>
      </c>
      <c r="P9" s="117"/>
      <c r="Q9" s="117"/>
      <c r="R9" s="111">
        <f t="shared" si="7"/>
        <v>88.607679397058803</v>
      </c>
      <c r="S9" s="111">
        <f ca="1">'Darlehen 1'!H21+'Darlehen 2'!H21+'Darlehen 3'!H21</f>
        <v>191.58175422819517</v>
      </c>
      <c r="T9" s="111">
        <f ca="1">-Konten!D9</f>
        <v>0</v>
      </c>
      <c r="U9" s="168">
        <f t="shared" ref="U9:U38" ca="1" si="25">C9+F9+G9-I9-J9-K9-L9-M9-N9-O9-P9-Q9-R9-S9-T9</f>
        <v>-82.055403382556165</v>
      </c>
      <c r="V9" s="173">
        <f t="shared" ref="V9:V38" si="26">EDATE(V8,12)</f>
        <v>44562</v>
      </c>
      <c r="W9" s="111">
        <f>Eingabe!$E$54</f>
        <v>30000</v>
      </c>
      <c r="X9" s="111">
        <f t="shared" ca="1" si="0"/>
        <v>29917.944596617443</v>
      </c>
      <c r="Y9" s="111">
        <f ca="1">IF(Eingabe!$E$51="Nein",'Steuerliche Gewinnermittlung'!Z9,IF(Eingabe!$E$51="Ja",'Steuerliche Gewinnermittlung'!AA9,0))</f>
        <v>-25</v>
      </c>
      <c r="Z9" s="111">
        <f t="shared" ca="1" si="8"/>
        <v>-25</v>
      </c>
      <c r="AA9" s="111">
        <f t="shared" ca="1" si="9"/>
        <v>-20</v>
      </c>
      <c r="AB9" s="111">
        <f ca="1">IF(Eingabe!$E$51="Nein",'Steuerliche Gewinnermittlung'!AG9-'Steuerliche Gewinnermittlung'!AD9,IF(Eingabe!$E$51="Ja",'Steuerliche Gewinnermittlung'!AL9-'Steuerliche Gewinnermittlung'!AI9,0))</f>
        <v>0</v>
      </c>
      <c r="AC9" s="111">
        <f t="shared" si="10"/>
        <v>5020</v>
      </c>
      <c r="AD9" s="111">
        <f t="shared" si="11"/>
        <v>0</v>
      </c>
      <c r="AE9" s="111">
        <f t="shared" ca="1" si="12"/>
        <v>4995</v>
      </c>
      <c r="AF9" s="111">
        <f t="shared" ca="1" si="13"/>
        <v>0</v>
      </c>
      <c r="AG9" s="111">
        <f t="shared" ca="1" si="14"/>
        <v>0</v>
      </c>
      <c r="AH9" s="111">
        <f t="shared" si="15"/>
        <v>1910</v>
      </c>
      <c r="AI9" s="111">
        <f t="shared" si="16"/>
        <v>0</v>
      </c>
      <c r="AJ9" s="111">
        <f t="shared" ca="1" si="17"/>
        <v>1890</v>
      </c>
      <c r="AK9" s="111">
        <f t="shared" ca="1" si="18"/>
        <v>0</v>
      </c>
      <c r="AL9" s="111">
        <f t="shared" ca="1" si="19"/>
        <v>0</v>
      </c>
      <c r="AM9" s="168">
        <f t="shared" ca="1" si="1"/>
        <v>-25</v>
      </c>
      <c r="AN9" s="173">
        <f t="shared" ref="AN9:AN38" si="27">EDATE(AN8,12)</f>
        <v>44562</v>
      </c>
      <c r="AO9" s="111">
        <f>IF(Eingabe!$E$71="JA",0,U9)</f>
        <v>0</v>
      </c>
      <c r="AP9" s="111">
        <f t="shared" ca="1" si="20"/>
        <v>0</v>
      </c>
      <c r="AQ9" s="111">
        <f t="shared" ca="1" si="2"/>
        <v>0</v>
      </c>
      <c r="AR9" s="111">
        <f t="shared" ca="1" si="21"/>
        <v>0</v>
      </c>
      <c r="AS9" s="111">
        <f t="shared" ca="1" si="22"/>
        <v>0</v>
      </c>
      <c r="AT9" s="111">
        <f t="shared" ca="1" si="3"/>
        <v>0</v>
      </c>
      <c r="AU9" s="111">
        <v>24500</v>
      </c>
      <c r="AV9" s="111">
        <f t="shared" ca="1" si="4"/>
        <v>0</v>
      </c>
      <c r="AW9" s="111">
        <f t="shared" ca="1" si="5"/>
        <v>0</v>
      </c>
      <c r="AX9" s="112">
        <f>Eingabe!$E$70</f>
        <v>4.4000000000000004</v>
      </c>
      <c r="AY9" s="168">
        <f t="shared" ca="1" si="23"/>
        <v>0</v>
      </c>
    </row>
    <row r="10" spans="1:51">
      <c r="A10" s="171">
        <f t="shared" si="24"/>
        <v>44927</v>
      </c>
      <c r="B10" s="110">
        <f>B9*(1-Eingabe!$E$19)</f>
        <v>9652.7437499999996</v>
      </c>
      <c r="C10" s="111">
        <f>B10*Eingabe!$E$34*Eingabe!$E$23</f>
        <v>694.99754999999993</v>
      </c>
      <c r="D10" s="111"/>
      <c r="E10" s="111">
        <f>E9*(1+Eingabe!$E$30)</f>
        <v>0.29031740499999997</v>
      </c>
      <c r="F10" s="111">
        <f ca="1">(I10+J10+K10+L10+M10+S10+'Absetzung für Abnutzung'!$E$6*'Absetzung für Abnutzung'!$E$10)*Eingabe!$E$35</f>
        <v>261.26939359996601</v>
      </c>
      <c r="G10" s="111">
        <f>IF(Eingabe!$E$48="Nein",B10*Eingabe!$E$35*'Steuerliche Gewinnermittlung'!E10/1.19*19%,0)</f>
        <v>89.487110615074613</v>
      </c>
      <c r="H10" s="164">
        <f t="shared" ca="1" si="6"/>
        <v>1045.7540542150407</v>
      </c>
      <c r="I10" s="111">
        <f>I9*(1+Eingabe!$E$29)</f>
        <v>257.55624999999992</v>
      </c>
      <c r="J10" s="111">
        <f>J9*(1+Eingabe!$E$29)</f>
        <v>103.02249999999998</v>
      </c>
      <c r="K10" s="111">
        <f>K9*(1+Eingabe!$E$29)</f>
        <v>30.906749999999992</v>
      </c>
      <c r="L10" s="111">
        <f>L9*(1+Eingabe!$E$29)</f>
        <v>51.51124999999999</v>
      </c>
      <c r="M10" s="111">
        <f>M9*(1+Eingabe!$E$29)</f>
        <v>10.302249999999997</v>
      </c>
      <c r="N10" s="111">
        <f>'Absetzung für Abnutzung'!D16</f>
        <v>405</v>
      </c>
      <c r="O10" s="111">
        <f>'Absetzung für Abnutzung'!E16</f>
        <v>0</v>
      </c>
      <c r="P10" s="117"/>
      <c r="Q10" s="117"/>
      <c r="R10" s="111">
        <f t="shared" si="7"/>
        <v>89.487110615074613</v>
      </c>
      <c r="S10" s="111">
        <f ca="1">'Darlehen 1'!H22+'Darlehen 2'!H22+'Darlehen 3'!H22</f>
        <v>178.04796799983018</v>
      </c>
      <c r="T10" s="111">
        <f ca="1">-Konten!D10</f>
        <v>0</v>
      </c>
      <c r="U10" s="168">
        <f t="shared" ca="1" si="25"/>
        <v>-80.080024399863959</v>
      </c>
      <c r="V10" s="173">
        <f t="shared" si="26"/>
        <v>44927</v>
      </c>
      <c r="W10" s="111">
        <f>Eingabe!$E$54</f>
        <v>30000</v>
      </c>
      <c r="X10" s="111">
        <f t="shared" ca="1" si="0"/>
        <v>29919.919975600136</v>
      </c>
      <c r="Y10" s="111">
        <f ca="1">IF(Eingabe!$E$51="Nein",'Steuerliche Gewinnermittlung'!Z10,IF(Eingabe!$E$51="Ja",'Steuerliche Gewinnermittlung'!AA10,0))</f>
        <v>-24</v>
      </c>
      <c r="Z10" s="111">
        <f t="shared" ca="1" si="8"/>
        <v>-24</v>
      </c>
      <c r="AA10" s="111">
        <f t="shared" ca="1" si="9"/>
        <v>-18</v>
      </c>
      <c r="AB10" s="111">
        <f ca="1">IF(Eingabe!$E$51="Nein",'Steuerliche Gewinnermittlung'!AG10-'Steuerliche Gewinnermittlung'!AD10,IF(Eingabe!$E$51="Ja",'Steuerliche Gewinnermittlung'!AL10-'Steuerliche Gewinnermittlung'!AI10,0))</f>
        <v>0</v>
      </c>
      <c r="AC10" s="111">
        <f t="shared" si="10"/>
        <v>5020</v>
      </c>
      <c r="AD10" s="111">
        <f t="shared" si="11"/>
        <v>0</v>
      </c>
      <c r="AE10" s="111">
        <f t="shared" ca="1" si="12"/>
        <v>4996</v>
      </c>
      <c r="AF10" s="111">
        <f t="shared" ca="1" si="13"/>
        <v>0</v>
      </c>
      <c r="AG10" s="111">
        <f t="shared" ca="1" si="14"/>
        <v>0</v>
      </c>
      <c r="AH10" s="111">
        <f t="shared" si="15"/>
        <v>1910</v>
      </c>
      <c r="AI10" s="111">
        <f t="shared" si="16"/>
        <v>0</v>
      </c>
      <c r="AJ10" s="111">
        <f t="shared" ca="1" si="17"/>
        <v>1892</v>
      </c>
      <c r="AK10" s="111">
        <f t="shared" ca="1" si="18"/>
        <v>0</v>
      </c>
      <c r="AL10" s="111">
        <f t="shared" ca="1" si="19"/>
        <v>0</v>
      </c>
      <c r="AM10" s="168">
        <f t="shared" ca="1" si="1"/>
        <v>-24</v>
      </c>
      <c r="AN10" s="173">
        <f t="shared" si="27"/>
        <v>44927</v>
      </c>
      <c r="AO10" s="111">
        <f>IF(Eingabe!$E$71="JA",0,U10)</f>
        <v>0</v>
      </c>
      <c r="AP10" s="111">
        <f t="shared" ca="1" si="20"/>
        <v>0</v>
      </c>
      <c r="AQ10" s="111">
        <f t="shared" ca="1" si="2"/>
        <v>0</v>
      </c>
      <c r="AR10" s="111">
        <f t="shared" ca="1" si="21"/>
        <v>0</v>
      </c>
      <c r="AS10" s="111">
        <f t="shared" ca="1" si="22"/>
        <v>0</v>
      </c>
      <c r="AT10" s="111">
        <f t="shared" ca="1" si="3"/>
        <v>0</v>
      </c>
      <c r="AU10" s="111">
        <v>24500</v>
      </c>
      <c r="AV10" s="111">
        <f t="shared" ca="1" si="4"/>
        <v>0</v>
      </c>
      <c r="AW10" s="111">
        <f t="shared" ca="1" si="5"/>
        <v>0</v>
      </c>
      <c r="AX10" s="112">
        <f>Eingabe!$E$70</f>
        <v>4.4000000000000004</v>
      </c>
      <c r="AY10" s="168">
        <f t="shared" ca="1" si="23"/>
        <v>0</v>
      </c>
    </row>
    <row r="11" spans="1:51">
      <c r="A11" s="171">
        <f t="shared" si="24"/>
        <v>45292</v>
      </c>
      <c r="B11" s="110">
        <f>B10*(1-Eingabe!$E$19)</f>
        <v>9604.4800312499992</v>
      </c>
      <c r="C11" s="111">
        <f>B11*Eingabe!$E$34*Eingabe!$E$23</f>
        <v>691.52256224999996</v>
      </c>
      <c r="D11" s="111"/>
      <c r="E11" s="111">
        <f>E10*(1+Eingabe!$E$30)</f>
        <v>0.29467216607499996</v>
      </c>
      <c r="F11" s="111">
        <f ca="1">(I11+J11+K11+L11+M11+S11+'Absetzung für Abnutzung'!$E$6*'Absetzung für Abnutzung'!$E$10)*Eingabe!$E$35</f>
        <v>259.89622529066554</v>
      </c>
      <c r="G11" s="111">
        <f>IF(Eingabe!$E$48="Nein",B11*Eingabe!$E$35*'Steuerliche Gewinnermittlung'!E11/1.19*19%,0)</f>
        <v>90.375270187929218</v>
      </c>
      <c r="H11" s="164">
        <f t="shared" ca="1" si="6"/>
        <v>1041.7940577285947</v>
      </c>
      <c r="I11" s="111">
        <f>I10*(1+Eingabe!$E$29)</f>
        <v>261.41959374999988</v>
      </c>
      <c r="J11" s="111">
        <f>J10*(1+Eingabe!$E$29)</f>
        <v>104.56783749999997</v>
      </c>
      <c r="K11" s="111">
        <f>K10*(1+Eingabe!$E$29)</f>
        <v>31.370351249999988</v>
      </c>
      <c r="L11" s="111">
        <f>L10*(1+Eingabe!$E$29)</f>
        <v>52.283918749999984</v>
      </c>
      <c r="M11" s="111">
        <f>M10*(1+Eingabe!$E$29)</f>
        <v>10.456783749999996</v>
      </c>
      <c r="N11" s="111">
        <f>'Absetzung für Abnutzung'!D17</f>
        <v>405</v>
      </c>
      <c r="O11" s="111">
        <f>'Absetzung für Abnutzung'!E17</f>
        <v>0</v>
      </c>
      <c r="P11" s="117"/>
      <c r="Q11" s="117"/>
      <c r="R11" s="111">
        <f t="shared" si="7"/>
        <v>90.375270187929218</v>
      </c>
      <c r="S11" s="111">
        <f ca="1">'Darlehen 1'!H23+'Darlehen 2'!H23+'Darlehen 3'!H23</f>
        <v>164.38264145332809</v>
      </c>
      <c r="T11" s="111">
        <f ca="1">-Konten!D11</f>
        <v>0</v>
      </c>
      <c r="U11" s="168">
        <f t="shared" ca="1" si="25"/>
        <v>-78.062338912662497</v>
      </c>
      <c r="V11" s="173">
        <f t="shared" si="26"/>
        <v>45292</v>
      </c>
      <c r="W11" s="111">
        <f>Eingabe!$E$54</f>
        <v>30000</v>
      </c>
      <c r="X11" s="111">
        <f t="shared" ca="1" si="0"/>
        <v>29921.937661087337</v>
      </c>
      <c r="Y11" s="111">
        <f ca="1">IF(Eingabe!$E$51="Nein",'Steuerliche Gewinnermittlung'!Z11,IF(Eingabe!$E$51="Ja",'Steuerliche Gewinnermittlung'!AA11,0))</f>
        <v>-24</v>
      </c>
      <c r="Z11" s="111">
        <f t="shared" ca="1" si="8"/>
        <v>-24</v>
      </c>
      <c r="AA11" s="111">
        <f t="shared" ca="1" si="9"/>
        <v>-18</v>
      </c>
      <c r="AB11" s="111">
        <f ca="1">IF(Eingabe!$E$51="Nein",'Steuerliche Gewinnermittlung'!AG11-'Steuerliche Gewinnermittlung'!AD11,IF(Eingabe!$E$51="Ja",'Steuerliche Gewinnermittlung'!AL11-'Steuerliche Gewinnermittlung'!AI11,0))</f>
        <v>0</v>
      </c>
      <c r="AC11" s="111">
        <f t="shared" si="10"/>
        <v>5020</v>
      </c>
      <c r="AD11" s="111">
        <f t="shared" si="11"/>
        <v>0</v>
      </c>
      <c r="AE11" s="111">
        <f t="shared" ca="1" si="12"/>
        <v>4996</v>
      </c>
      <c r="AF11" s="111">
        <f t="shared" ca="1" si="13"/>
        <v>0</v>
      </c>
      <c r="AG11" s="111">
        <f t="shared" ca="1" si="14"/>
        <v>0</v>
      </c>
      <c r="AH11" s="111">
        <f t="shared" si="15"/>
        <v>1910</v>
      </c>
      <c r="AI11" s="111">
        <f t="shared" si="16"/>
        <v>0</v>
      </c>
      <c r="AJ11" s="111">
        <f t="shared" ca="1" si="17"/>
        <v>1892</v>
      </c>
      <c r="AK11" s="111">
        <f t="shared" ca="1" si="18"/>
        <v>0</v>
      </c>
      <c r="AL11" s="111">
        <f t="shared" ca="1" si="19"/>
        <v>0</v>
      </c>
      <c r="AM11" s="168">
        <f t="shared" ca="1" si="1"/>
        <v>-24</v>
      </c>
      <c r="AN11" s="173">
        <f t="shared" si="27"/>
        <v>45292</v>
      </c>
      <c r="AO11" s="111">
        <f>IF(Eingabe!$E$71="JA",0,U11)</f>
        <v>0</v>
      </c>
      <c r="AP11" s="111">
        <f t="shared" ca="1" si="20"/>
        <v>0</v>
      </c>
      <c r="AQ11" s="111">
        <f t="shared" ca="1" si="2"/>
        <v>0</v>
      </c>
      <c r="AR11" s="111">
        <f t="shared" ca="1" si="21"/>
        <v>0</v>
      </c>
      <c r="AS11" s="111">
        <f t="shared" ca="1" si="22"/>
        <v>0</v>
      </c>
      <c r="AT11" s="111">
        <f t="shared" ca="1" si="3"/>
        <v>0</v>
      </c>
      <c r="AU11" s="111">
        <v>24500</v>
      </c>
      <c r="AV11" s="111">
        <f t="shared" ca="1" si="4"/>
        <v>0</v>
      </c>
      <c r="AW11" s="111">
        <f t="shared" ca="1" si="5"/>
        <v>0</v>
      </c>
      <c r="AX11" s="112">
        <f>Eingabe!$E$70</f>
        <v>4.4000000000000004</v>
      </c>
      <c r="AY11" s="168">
        <f t="shared" ca="1" si="23"/>
        <v>0</v>
      </c>
    </row>
    <row r="12" spans="1:51">
      <c r="A12" s="171">
        <f t="shared" si="24"/>
        <v>45658</v>
      </c>
      <c r="B12" s="110">
        <f>B11*(1-Eingabe!$E$19)</f>
        <v>9556.45763109375</v>
      </c>
      <c r="C12" s="111">
        <f>B12*Eingabe!$E$34*Eingabe!$E$23</f>
        <v>688.06494943874998</v>
      </c>
      <c r="D12" s="111"/>
      <c r="E12" s="111">
        <f>E11*(1+Eingabe!$E$30)</f>
        <v>0.29909224856612493</v>
      </c>
      <c r="F12" s="111">
        <f ca="1">(I12+J12+K12+L12+M12+S12+'Absetzung für Abnutzung'!$E$6*'Absetzung für Abnutzung'!$E$10)*Eingabe!$E$35</f>
        <v>258.5166163614241</v>
      </c>
      <c r="G12" s="111">
        <f>IF(Eingabe!$E$48="Nein",B12*Eingabe!$E$35*'Steuerliche Gewinnermittlung'!E12/1.19*19%,0)</f>
        <v>91.272244744544423</v>
      </c>
      <c r="H12" s="164">
        <f t="shared" ca="1" si="6"/>
        <v>1037.8538105447185</v>
      </c>
      <c r="I12" s="111">
        <f>I11*(1+Eingabe!$E$29)</f>
        <v>265.34088765624983</v>
      </c>
      <c r="J12" s="111">
        <f>J11*(1+Eingabe!$E$29)</f>
        <v>106.13635506249996</v>
      </c>
      <c r="K12" s="111">
        <f>K11*(1+Eingabe!$E$29)</f>
        <v>31.840906518749986</v>
      </c>
      <c r="L12" s="111">
        <f>L11*(1+Eingabe!$E$29)</f>
        <v>53.068177531249979</v>
      </c>
      <c r="M12" s="111">
        <f>M11*(1+Eingabe!$E$29)</f>
        <v>10.613635506249995</v>
      </c>
      <c r="N12" s="111">
        <f>'Absetzung für Abnutzung'!D18</f>
        <v>405</v>
      </c>
      <c r="O12" s="111">
        <f>'Absetzung für Abnutzung'!E18</f>
        <v>0</v>
      </c>
      <c r="P12" s="117"/>
      <c r="Q12" s="117"/>
      <c r="R12" s="111">
        <f t="shared" si="7"/>
        <v>91.272244744544423</v>
      </c>
      <c r="S12" s="111">
        <f ca="1">'Darlehen 1'!H24+'Darlehen 2'!H24+'Darlehen 3'!H24</f>
        <v>150.58311953212109</v>
      </c>
      <c r="T12" s="111">
        <f ca="1">-Konten!D12</f>
        <v>0</v>
      </c>
      <c r="U12" s="168">
        <f t="shared" ca="1" si="25"/>
        <v>-76.001516006946815</v>
      </c>
      <c r="V12" s="173">
        <f t="shared" si="26"/>
        <v>45658</v>
      </c>
      <c r="W12" s="111">
        <f>Eingabe!$E$54</f>
        <v>30000</v>
      </c>
      <c r="X12" s="111">
        <f t="shared" ca="1" si="0"/>
        <v>29923.998483993055</v>
      </c>
      <c r="Y12" s="111">
        <f ca="1">IF(Eingabe!$E$51="Nein",'Steuerliche Gewinnermittlung'!Z12,IF(Eingabe!$E$51="Ja",'Steuerliche Gewinnermittlung'!AA12,0))</f>
        <v>-23</v>
      </c>
      <c r="Z12" s="111">
        <f t="shared" ca="1" si="8"/>
        <v>-23</v>
      </c>
      <c r="AA12" s="111">
        <f t="shared" ca="1" si="9"/>
        <v>-18</v>
      </c>
      <c r="AB12" s="111">
        <f ca="1">IF(Eingabe!$E$51="Nein",'Steuerliche Gewinnermittlung'!AG12-'Steuerliche Gewinnermittlung'!AD12,IF(Eingabe!$E$51="Ja",'Steuerliche Gewinnermittlung'!AL12-'Steuerliche Gewinnermittlung'!AI12,0))</f>
        <v>0</v>
      </c>
      <c r="AC12" s="111">
        <f t="shared" si="10"/>
        <v>5020</v>
      </c>
      <c r="AD12" s="111">
        <f t="shared" si="11"/>
        <v>0</v>
      </c>
      <c r="AE12" s="111">
        <f t="shared" ca="1" si="12"/>
        <v>4997</v>
      </c>
      <c r="AF12" s="111">
        <f t="shared" ca="1" si="13"/>
        <v>0</v>
      </c>
      <c r="AG12" s="111">
        <f t="shared" ca="1" si="14"/>
        <v>0</v>
      </c>
      <c r="AH12" s="111">
        <f t="shared" si="15"/>
        <v>1910</v>
      </c>
      <c r="AI12" s="111">
        <f t="shared" si="16"/>
        <v>0</v>
      </c>
      <c r="AJ12" s="111">
        <f t="shared" ca="1" si="17"/>
        <v>1892</v>
      </c>
      <c r="AK12" s="111">
        <f t="shared" ca="1" si="18"/>
        <v>0</v>
      </c>
      <c r="AL12" s="111">
        <f t="shared" ca="1" si="19"/>
        <v>0</v>
      </c>
      <c r="AM12" s="168">
        <f t="shared" ca="1" si="1"/>
        <v>-23</v>
      </c>
      <c r="AN12" s="173">
        <f t="shared" si="27"/>
        <v>45658</v>
      </c>
      <c r="AO12" s="111">
        <f>IF(Eingabe!$E$71="JA",0,U12)</f>
        <v>0</v>
      </c>
      <c r="AP12" s="111">
        <f t="shared" ca="1" si="20"/>
        <v>0</v>
      </c>
      <c r="AQ12" s="111">
        <f t="shared" ca="1" si="2"/>
        <v>0</v>
      </c>
      <c r="AR12" s="111">
        <f t="shared" ca="1" si="21"/>
        <v>0</v>
      </c>
      <c r="AS12" s="111">
        <f t="shared" ca="1" si="22"/>
        <v>0</v>
      </c>
      <c r="AT12" s="111">
        <f t="shared" ca="1" si="3"/>
        <v>0</v>
      </c>
      <c r="AU12" s="111">
        <v>24500</v>
      </c>
      <c r="AV12" s="111">
        <f t="shared" ca="1" si="4"/>
        <v>0</v>
      </c>
      <c r="AW12" s="111">
        <f t="shared" ca="1" si="5"/>
        <v>0</v>
      </c>
      <c r="AX12" s="112">
        <f>Eingabe!$E$70</f>
        <v>4.4000000000000004</v>
      </c>
      <c r="AY12" s="168">
        <f t="shared" ca="1" si="23"/>
        <v>0</v>
      </c>
    </row>
    <row r="13" spans="1:51">
      <c r="A13" s="171">
        <f t="shared" si="24"/>
        <v>46023</v>
      </c>
      <c r="B13" s="110">
        <f>B12*(1-Eingabe!$E$19)</f>
        <v>9508.6753429382807</v>
      </c>
      <c r="C13" s="111">
        <f>B13*Eingabe!$E$34*Eingabe!$E$23</f>
        <v>684.62462469155628</v>
      </c>
      <c r="D13" s="111"/>
      <c r="E13" s="111">
        <f>E12*(1+Eingabe!$E$30)</f>
        <v>0.30357863229461679</v>
      </c>
      <c r="F13" s="111">
        <f ca="1">(I13+J13+K13+L13+M13+S13+'Absetzung für Abnutzung'!$E$6*'Absetzung für Abnutzung'!$E$10)*Eingabe!$E$35</f>
        <v>257.13033105963194</v>
      </c>
      <c r="G13" s="111">
        <f>IF(Eingabe!$E$48="Nein",B13*Eingabe!$E$35*'Steuerliche Gewinnermittlung'!E13/1.19*19%,0)</f>
        <v>92.17812177363399</v>
      </c>
      <c r="H13" s="164">
        <f t="shared" ca="1" si="6"/>
        <v>1033.9330775248222</v>
      </c>
      <c r="I13" s="111">
        <f>I12*(1+Eingabe!$E$29)</f>
        <v>269.32100097109355</v>
      </c>
      <c r="J13" s="111">
        <f>J12*(1+Eingabe!$E$29)</f>
        <v>107.72840038843745</v>
      </c>
      <c r="K13" s="111">
        <f>K12*(1+Eingabe!$E$29)</f>
        <v>32.318520116531232</v>
      </c>
      <c r="L13" s="111">
        <f>L12*(1+Eingabe!$E$29)</f>
        <v>53.864200194218725</v>
      </c>
      <c r="M13" s="111">
        <f>M12*(1+Eingabe!$E$29)</f>
        <v>10.772840038843745</v>
      </c>
      <c r="N13" s="111">
        <f>'Absetzung für Abnutzung'!D19</f>
        <v>299.3478260869565</v>
      </c>
      <c r="O13" s="111">
        <f>'Absetzung für Abnutzung'!E19</f>
        <v>0</v>
      </c>
      <c r="P13" s="117"/>
      <c r="Q13" s="117"/>
      <c r="R13" s="111">
        <f t="shared" si="7"/>
        <v>92.17812177363399</v>
      </c>
      <c r="S13" s="111">
        <f ca="1">'Darlehen 1'!H25+'Darlehen 2'!H25+'Darlehen 3'!H25</f>
        <v>136.64669358903541</v>
      </c>
      <c r="T13" s="111">
        <f ca="1">-Konten!D13</f>
        <v>0</v>
      </c>
      <c r="U13" s="168">
        <f t="shared" ca="1" si="25"/>
        <v>31.755474366071752</v>
      </c>
      <c r="V13" s="173">
        <f t="shared" si="26"/>
        <v>46023</v>
      </c>
      <c r="W13" s="111">
        <f>Eingabe!$E$54</f>
        <v>30000</v>
      </c>
      <c r="X13" s="111">
        <f t="shared" ca="1" si="0"/>
        <v>30031.755474366073</v>
      </c>
      <c r="Y13" s="111">
        <f ca="1">IF(Eingabe!$E$51="Nein",'Steuerliche Gewinnermittlung'!Z13,IF(Eingabe!$E$51="Ja",'Steuerliche Gewinnermittlung'!AA13,0))</f>
        <v>9</v>
      </c>
      <c r="Z13" s="111">
        <f t="shared" ca="1" si="8"/>
        <v>9</v>
      </c>
      <c r="AA13" s="111">
        <f t="shared" ca="1" si="9"/>
        <v>8</v>
      </c>
      <c r="AB13" s="111">
        <f ca="1">IF(Eingabe!$E$51="Nein",'Steuerliche Gewinnermittlung'!AG13-'Steuerliche Gewinnermittlung'!AD13,IF(Eingabe!$E$51="Ja",'Steuerliche Gewinnermittlung'!AL13-'Steuerliche Gewinnermittlung'!AI13,0))</f>
        <v>0</v>
      </c>
      <c r="AC13" s="111">
        <f t="shared" si="10"/>
        <v>5020</v>
      </c>
      <c r="AD13" s="111">
        <f t="shared" si="11"/>
        <v>0</v>
      </c>
      <c r="AE13" s="111">
        <f t="shared" ca="1" si="12"/>
        <v>5029</v>
      </c>
      <c r="AF13" s="111">
        <f t="shared" ca="1" si="13"/>
        <v>0</v>
      </c>
      <c r="AG13" s="111">
        <f t="shared" ca="1" si="14"/>
        <v>0</v>
      </c>
      <c r="AH13" s="111">
        <f t="shared" si="15"/>
        <v>1910</v>
      </c>
      <c r="AI13" s="111">
        <f t="shared" si="16"/>
        <v>0</v>
      </c>
      <c r="AJ13" s="111">
        <f t="shared" ca="1" si="17"/>
        <v>1918</v>
      </c>
      <c r="AK13" s="111">
        <f t="shared" ca="1" si="18"/>
        <v>0</v>
      </c>
      <c r="AL13" s="111">
        <f t="shared" ca="1" si="19"/>
        <v>0</v>
      </c>
      <c r="AM13" s="168">
        <f t="shared" ca="1" si="1"/>
        <v>9</v>
      </c>
      <c r="AN13" s="173">
        <f t="shared" si="27"/>
        <v>46023</v>
      </c>
      <c r="AO13" s="111">
        <f>IF(Eingabe!$E$71="JA",0,U13)</f>
        <v>0</v>
      </c>
      <c r="AP13" s="111">
        <f t="shared" ca="1" si="20"/>
        <v>0</v>
      </c>
      <c r="AQ13" s="111">
        <f t="shared" ca="1" si="2"/>
        <v>0</v>
      </c>
      <c r="AR13" s="111">
        <f t="shared" ca="1" si="21"/>
        <v>0</v>
      </c>
      <c r="AS13" s="111">
        <f t="shared" ca="1" si="22"/>
        <v>0</v>
      </c>
      <c r="AT13" s="111">
        <f t="shared" ca="1" si="3"/>
        <v>0</v>
      </c>
      <c r="AU13" s="111">
        <v>24500</v>
      </c>
      <c r="AV13" s="111">
        <f t="shared" ca="1" si="4"/>
        <v>0</v>
      </c>
      <c r="AW13" s="111">
        <f t="shared" ca="1" si="5"/>
        <v>0</v>
      </c>
      <c r="AX13" s="112">
        <f>Eingabe!$E$70</f>
        <v>4.4000000000000004</v>
      </c>
      <c r="AY13" s="168">
        <f t="shared" ca="1" si="23"/>
        <v>0</v>
      </c>
    </row>
    <row r="14" spans="1:51">
      <c r="A14" s="171">
        <f t="shared" si="24"/>
        <v>46388</v>
      </c>
      <c r="B14" s="110">
        <f>B13*(1-Eingabe!$E$19)</f>
        <v>9461.1319662235892</v>
      </c>
      <c r="C14" s="111">
        <f>B14*Eingabe!$E$34*Eingabe!$E$23</f>
        <v>681.20150156809837</v>
      </c>
      <c r="D14" s="111"/>
      <c r="E14" s="111">
        <f>E13*(1+Eingabe!$E$30)</f>
        <v>0.30813231177903599</v>
      </c>
      <c r="F14" s="111">
        <f ca="1">(I14+J14+K14+L14+M14+S14+'Absetzung für Abnutzung'!$E$6*'Absetzung für Abnutzung'!$E$10)*Eingabe!$E$35</f>
        <v>255.73712728787208</v>
      </c>
      <c r="G14" s="111">
        <f>IF(Eingabe!$E$48="Nein",B14*Eingabe!$E$35*'Steuerliche Gewinnermittlung'!E14/1.19*19%,0)</f>
        <v>93.092989632237305</v>
      </c>
      <c r="H14" s="164">
        <f t="shared" ca="1" si="6"/>
        <v>1030.0316184882079</v>
      </c>
      <c r="I14" s="111">
        <f>I13*(1+Eingabe!$E$29)</f>
        <v>273.36081598565994</v>
      </c>
      <c r="J14" s="111">
        <f>J13*(1+Eingabe!$E$29)</f>
        <v>109.344326394264</v>
      </c>
      <c r="K14" s="111">
        <f>K13*(1+Eingabe!$E$29)</f>
        <v>32.803297918279199</v>
      </c>
      <c r="L14" s="111">
        <f>L13*(1+Eingabe!$E$29)</f>
        <v>54.672163197132001</v>
      </c>
      <c r="M14" s="111">
        <f>M13*(1+Eingabe!$E$29)</f>
        <v>10.934432639426399</v>
      </c>
      <c r="N14" s="111">
        <f>'Absetzung für Abnutzung'!D20</f>
        <v>299.3478260869565</v>
      </c>
      <c r="O14" s="111">
        <f>'Absetzung für Abnutzung'!E20</f>
        <v>0</v>
      </c>
      <c r="P14" s="117"/>
      <c r="Q14" s="117"/>
      <c r="R14" s="111">
        <f t="shared" si="7"/>
        <v>93.092989632237305</v>
      </c>
      <c r="S14" s="111">
        <f ca="1">'Darlehen 1'!H26+'Darlehen 2'!H26+'Darlehen 3'!H26</f>
        <v>122.57060030459915</v>
      </c>
      <c r="T14" s="111">
        <f ca="1">-Konten!D14</f>
        <v>0</v>
      </c>
      <c r="U14" s="168">
        <f t="shared" ca="1" si="25"/>
        <v>33.905166329653341</v>
      </c>
      <c r="V14" s="173">
        <f t="shared" si="26"/>
        <v>46388</v>
      </c>
      <c r="W14" s="111">
        <f>Eingabe!$E$54</f>
        <v>30000</v>
      </c>
      <c r="X14" s="111">
        <f t="shared" ca="1" si="0"/>
        <v>30033.905166329652</v>
      </c>
      <c r="Y14" s="111">
        <f ca="1">IF(Eingabe!$E$51="Nein",'Steuerliche Gewinnermittlung'!Z14,IF(Eingabe!$E$51="Ja",'Steuerliche Gewinnermittlung'!AA14,0))</f>
        <v>10</v>
      </c>
      <c r="Z14" s="111">
        <f t="shared" ca="1" si="8"/>
        <v>10</v>
      </c>
      <c r="AA14" s="111">
        <f t="shared" ca="1" si="9"/>
        <v>8</v>
      </c>
      <c r="AB14" s="111">
        <f ca="1">IF(Eingabe!$E$51="Nein",'Steuerliche Gewinnermittlung'!AG14-'Steuerliche Gewinnermittlung'!AD14,IF(Eingabe!$E$51="Ja",'Steuerliche Gewinnermittlung'!AL14-'Steuerliche Gewinnermittlung'!AI14,0))</f>
        <v>0</v>
      </c>
      <c r="AC14" s="111">
        <f t="shared" si="10"/>
        <v>5020</v>
      </c>
      <c r="AD14" s="111">
        <f t="shared" si="11"/>
        <v>0</v>
      </c>
      <c r="AE14" s="111">
        <f t="shared" ca="1" si="12"/>
        <v>5030</v>
      </c>
      <c r="AF14" s="111">
        <f t="shared" ca="1" si="13"/>
        <v>0</v>
      </c>
      <c r="AG14" s="111">
        <f t="shared" ca="1" si="14"/>
        <v>0</v>
      </c>
      <c r="AH14" s="111">
        <f t="shared" si="15"/>
        <v>1910</v>
      </c>
      <c r="AI14" s="111">
        <f t="shared" si="16"/>
        <v>0</v>
      </c>
      <c r="AJ14" s="111">
        <f t="shared" ca="1" si="17"/>
        <v>1918</v>
      </c>
      <c r="AK14" s="111">
        <f t="shared" ca="1" si="18"/>
        <v>0</v>
      </c>
      <c r="AL14" s="111">
        <f t="shared" ca="1" si="19"/>
        <v>0</v>
      </c>
      <c r="AM14" s="168">
        <f t="shared" ca="1" si="1"/>
        <v>10</v>
      </c>
      <c r="AN14" s="173">
        <f t="shared" si="27"/>
        <v>46388</v>
      </c>
      <c r="AO14" s="111">
        <f>IF(Eingabe!$E$71="JA",0,U14)</f>
        <v>0</v>
      </c>
      <c r="AP14" s="111">
        <f t="shared" ca="1" si="20"/>
        <v>0</v>
      </c>
      <c r="AQ14" s="111">
        <f t="shared" ca="1" si="2"/>
        <v>0</v>
      </c>
      <c r="AR14" s="111">
        <f t="shared" ca="1" si="21"/>
        <v>0</v>
      </c>
      <c r="AS14" s="111">
        <f t="shared" ca="1" si="22"/>
        <v>0</v>
      </c>
      <c r="AT14" s="111">
        <f t="shared" ca="1" si="3"/>
        <v>0</v>
      </c>
      <c r="AU14" s="111">
        <v>24500</v>
      </c>
      <c r="AV14" s="111">
        <f t="shared" ca="1" si="4"/>
        <v>0</v>
      </c>
      <c r="AW14" s="111">
        <f t="shared" ca="1" si="5"/>
        <v>0</v>
      </c>
      <c r="AX14" s="112">
        <f>Eingabe!$E$70</f>
        <v>4.4000000000000004</v>
      </c>
      <c r="AY14" s="168">
        <f t="shared" ca="1" si="23"/>
        <v>0</v>
      </c>
    </row>
    <row r="15" spans="1:51">
      <c r="A15" s="171">
        <f t="shared" si="24"/>
        <v>46753</v>
      </c>
      <c r="B15" s="110">
        <f>B14*(1-Eingabe!$E$19)</f>
        <v>9413.8263063924715</v>
      </c>
      <c r="C15" s="111">
        <f>B15*Eingabe!$E$34*Eingabe!$E$23</f>
        <v>677.79549406025797</v>
      </c>
      <c r="D15" s="111"/>
      <c r="E15" s="111">
        <f>E14*(1+Eingabe!$E$30)</f>
        <v>0.3127542964557215</v>
      </c>
      <c r="F15" s="111">
        <f ca="1">(I15+J15+K15+L15+M15+S15+'Absetzung für Abnutzung'!$E$6*'Absetzung für Abnutzung'!$E$10)*Eingabe!$E$35</f>
        <v>254.33675645206003</v>
      </c>
      <c r="G15" s="111">
        <f>IF(Eingabe!$E$48="Nein",B15*Eingabe!$E$35*'Steuerliche Gewinnermittlung'!E15/1.19*19%,0)</f>
        <v>94.016937554337247</v>
      </c>
      <c r="H15" s="164">
        <f t="shared" ca="1" si="6"/>
        <v>1026.1491880666554</v>
      </c>
      <c r="I15" s="111">
        <f>I14*(1+Eingabe!$E$29)</f>
        <v>277.46122822544481</v>
      </c>
      <c r="J15" s="111">
        <f>J14*(1+Eingabe!$E$29)</f>
        <v>110.98449129017796</v>
      </c>
      <c r="K15" s="111">
        <f>K14*(1+Eingabe!$E$29)</f>
        <v>33.295347387053383</v>
      </c>
      <c r="L15" s="111">
        <f>L14*(1+Eingabe!$E$29)</f>
        <v>55.492245645088978</v>
      </c>
      <c r="M15" s="111">
        <f>M14*(1+Eingabe!$E$29)</f>
        <v>11.098449129017794</v>
      </c>
      <c r="N15" s="111">
        <f>'Absetzung für Abnutzung'!D21</f>
        <v>299.3478260869565</v>
      </c>
      <c r="O15" s="111">
        <f>'Absetzung für Abnutzung'!E21</f>
        <v>0</v>
      </c>
      <c r="P15" s="117"/>
      <c r="Q15" s="117"/>
      <c r="R15" s="111">
        <f t="shared" si="7"/>
        <v>94.016937554337247</v>
      </c>
      <c r="S15" s="111">
        <f ca="1">'Darlehen 1'!H27+'Darlehen 2'!H27+'Darlehen 3'!H27</f>
        <v>108.3520205835174</v>
      </c>
      <c r="T15" s="111">
        <f ca="1">-Konten!D15</f>
        <v>0</v>
      </c>
      <c r="U15" s="168">
        <f t="shared" ca="1" si="25"/>
        <v>36.100642165061345</v>
      </c>
      <c r="V15" s="173">
        <f t="shared" si="26"/>
        <v>46753</v>
      </c>
      <c r="W15" s="111">
        <f>Eingabe!$E$54</f>
        <v>30000</v>
      </c>
      <c r="X15" s="111">
        <f t="shared" ca="1" si="0"/>
        <v>30036.10064216506</v>
      </c>
      <c r="Y15" s="111">
        <f ca="1">IF(Eingabe!$E$51="Nein",'Steuerliche Gewinnermittlung'!Z15,IF(Eingabe!$E$51="Ja",'Steuerliche Gewinnermittlung'!AA15,0))</f>
        <v>11</v>
      </c>
      <c r="Z15" s="111">
        <f t="shared" ca="1" si="8"/>
        <v>11</v>
      </c>
      <c r="AA15" s="111">
        <f t="shared" ca="1" si="9"/>
        <v>10</v>
      </c>
      <c r="AB15" s="111">
        <f ca="1">IF(Eingabe!$E$51="Nein",'Steuerliche Gewinnermittlung'!AG15-'Steuerliche Gewinnermittlung'!AD15,IF(Eingabe!$E$51="Ja",'Steuerliche Gewinnermittlung'!AL15-'Steuerliche Gewinnermittlung'!AI15,0))</f>
        <v>0</v>
      </c>
      <c r="AC15" s="111">
        <f t="shared" si="10"/>
        <v>5020</v>
      </c>
      <c r="AD15" s="111">
        <f t="shared" si="11"/>
        <v>0</v>
      </c>
      <c r="AE15" s="111">
        <f t="shared" ca="1" si="12"/>
        <v>5031</v>
      </c>
      <c r="AF15" s="111">
        <f t="shared" ca="1" si="13"/>
        <v>0</v>
      </c>
      <c r="AG15" s="111">
        <f t="shared" ca="1" si="14"/>
        <v>0</v>
      </c>
      <c r="AH15" s="111">
        <f t="shared" si="15"/>
        <v>1910</v>
      </c>
      <c r="AI15" s="111">
        <f t="shared" si="16"/>
        <v>0</v>
      </c>
      <c r="AJ15" s="111">
        <f t="shared" ca="1" si="17"/>
        <v>1920</v>
      </c>
      <c r="AK15" s="111">
        <f t="shared" ca="1" si="18"/>
        <v>0</v>
      </c>
      <c r="AL15" s="111">
        <f t="shared" ca="1" si="19"/>
        <v>0</v>
      </c>
      <c r="AM15" s="168">
        <f t="shared" ca="1" si="1"/>
        <v>11</v>
      </c>
      <c r="AN15" s="173">
        <f t="shared" si="27"/>
        <v>46753</v>
      </c>
      <c r="AO15" s="111">
        <f>IF(Eingabe!$E$71="JA",0,U15)</f>
        <v>0</v>
      </c>
      <c r="AP15" s="111">
        <f t="shared" ca="1" si="20"/>
        <v>0</v>
      </c>
      <c r="AQ15" s="111">
        <f t="shared" ca="1" si="2"/>
        <v>0</v>
      </c>
      <c r="AR15" s="111">
        <f t="shared" ca="1" si="21"/>
        <v>0</v>
      </c>
      <c r="AS15" s="111">
        <f t="shared" ca="1" si="22"/>
        <v>0</v>
      </c>
      <c r="AT15" s="111">
        <f t="shared" ca="1" si="3"/>
        <v>0</v>
      </c>
      <c r="AU15" s="111">
        <v>24500</v>
      </c>
      <c r="AV15" s="111">
        <f t="shared" ca="1" si="4"/>
        <v>0</v>
      </c>
      <c r="AW15" s="111">
        <f t="shared" ca="1" si="5"/>
        <v>0</v>
      </c>
      <c r="AX15" s="112">
        <f>Eingabe!$E$70</f>
        <v>4.4000000000000004</v>
      </c>
      <c r="AY15" s="168">
        <f t="shared" ca="1" si="23"/>
        <v>0</v>
      </c>
    </row>
    <row r="16" spans="1:51">
      <c r="A16" s="171">
        <f t="shared" si="24"/>
        <v>47119</v>
      </c>
      <c r="B16" s="110">
        <f>B15*(1-Eingabe!$E$19)</f>
        <v>9366.7571748605096</v>
      </c>
      <c r="C16" s="111">
        <f>B16*Eingabe!$E$34*Eingabe!$E$23</f>
        <v>674.40651658995671</v>
      </c>
      <c r="D16" s="111"/>
      <c r="E16" s="111">
        <f>E15*(1+Eingabe!$E$30)</f>
        <v>0.3174456109025573</v>
      </c>
      <c r="F16" s="111">
        <f ca="1">(I16+J16+K16+L16+M16+S16+'Absetzung für Abnutzung'!$E$6*'Absetzung für Abnutzung'!$E$10)*Eingabe!$E$35</f>
        <v>252.92896330616148</v>
      </c>
      <c r="G16" s="111">
        <f>IF(Eingabe!$E$48="Nein",B16*Eingabe!$E$35*'Steuerliche Gewinnermittlung'!E16/1.19*19%,0)</f>
        <v>94.950055659564043</v>
      </c>
      <c r="H16" s="164">
        <f t="shared" ca="1" si="6"/>
        <v>1022.2855355556821</v>
      </c>
      <c r="I16" s="111">
        <f>I15*(1+Eingabe!$E$29)</f>
        <v>281.62314664882643</v>
      </c>
      <c r="J16" s="111">
        <f>J15*(1+Eingabe!$E$29)</f>
        <v>112.64925865953062</v>
      </c>
      <c r="K16" s="111">
        <f>K15*(1+Eingabe!$E$29)</f>
        <v>33.794777597859181</v>
      </c>
      <c r="L16" s="111">
        <f>L15*(1+Eingabe!$E$29)</f>
        <v>56.324629329765308</v>
      </c>
      <c r="M16" s="111">
        <f>M15*(1+Eingabe!$E$29)</f>
        <v>11.26492586595306</v>
      </c>
      <c r="N16" s="111">
        <f>'Absetzung für Abnutzung'!D22</f>
        <v>299.3478260869565</v>
      </c>
      <c r="O16" s="111">
        <f>'Absetzung für Abnutzung'!E22</f>
        <v>0</v>
      </c>
      <c r="P16" s="117"/>
      <c r="Q16" s="117"/>
      <c r="R16" s="111">
        <f t="shared" si="7"/>
        <v>94.950055659564043</v>
      </c>
      <c r="S16" s="111">
        <f ca="1">'Darlehen 1'!H28+'Darlehen 2'!H28+'Darlehen 3'!H28</f>
        <v>93.988078428873109</v>
      </c>
      <c r="T16" s="111">
        <f ca="1">-Konten!D16</f>
        <v>0</v>
      </c>
      <c r="U16" s="168">
        <f t="shared" ca="1" si="25"/>
        <v>38.342837278354011</v>
      </c>
      <c r="V16" s="173">
        <f t="shared" si="26"/>
        <v>47119</v>
      </c>
      <c r="W16" s="111">
        <f>Eingabe!$E$54</f>
        <v>30000</v>
      </c>
      <c r="X16" s="111">
        <f t="shared" ca="1" si="0"/>
        <v>30038.342837278353</v>
      </c>
      <c r="Y16" s="111">
        <f ca="1">IF(Eingabe!$E$51="Nein",'Steuerliche Gewinnermittlung'!Z16,IF(Eingabe!$E$51="Ja",'Steuerliche Gewinnermittlung'!AA16,0))</f>
        <v>12</v>
      </c>
      <c r="Z16" s="111">
        <f t="shared" ca="1" si="8"/>
        <v>12</v>
      </c>
      <c r="AA16" s="111">
        <f t="shared" ca="1" si="9"/>
        <v>10</v>
      </c>
      <c r="AB16" s="111">
        <f ca="1">IF(Eingabe!$E$51="Nein",'Steuerliche Gewinnermittlung'!AG16-'Steuerliche Gewinnermittlung'!AD16,IF(Eingabe!$E$51="Ja",'Steuerliche Gewinnermittlung'!AL16-'Steuerliche Gewinnermittlung'!AI16,0))</f>
        <v>0</v>
      </c>
      <c r="AC16" s="111">
        <f t="shared" si="10"/>
        <v>5020</v>
      </c>
      <c r="AD16" s="111">
        <f t="shared" si="11"/>
        <v>0</v>
      </c>
      <c r="AE16" s="111">
        <f t="shared" ca="1" si="12"/>
        <v>5032</v>
      </c>
      <c r="AF16" s="111">
        <f t="shared" ca="1" si="13"/>
        <v>0</v>
      </c>
      <c r="AG16" s="111">
        <f t="shared" ca="1" si="14"/>
        <v>0</v>
      </c>
      <c r="AH16" s="111">
        <f t="shared" si="15"/>
        <v>1910</v>
      </c>
      <c r="AI16" s="111">
        <f t="shared" si="16"/>
        <v>0</v>
      </c>
      <c r="AJ16" s="111">
        <f t="shared" ca="1" si="17"/>
        <v>1920</v>
      </c>
      <c r="AK16" s="111">
        <f t="shared" ca="1" si="18"/>
        <v>0</v>
      </c>
      <c r="AL16" s="111">
        <f t="shared" ca="1" si="19"/>
        <v>0</v>
      </c>
      <c r="AM16" s="168">
        <f t="shared" ca="1" si="1"/>
        <v>12</v>
      </c>
      <c r="AN16" s="173">
        <f t="shared" si="27"/>
        <v>47119</v>
      </c>
      <c r="AO16" s="111">
        <f>IF(Eingabe!$E$71="JA",0,U16)</f>
        <v>0</v>
      </c>
      <c r="AP16" s="111">
        <f t="shared" ca="1" si="20"/>
        <v>0</v>
      </c>
      <c r="AQ16" s="111">
        <f t="shared" ca="1" si="2"/>
        <v>0</v>
      </c>
      <c r="AR16" s="111">
        <f t="shared" ca="1" si="21"/>
        <v>0</v>
      </c>
      <c r="AS16" s="111">
        <f t="shared" ca="1" si="22"/>
        <v>0</v>
      </c>
      <c r="AT16" s="111">
        <f t="shared" ca="1" si="3"/>
        <v>0</v>
      </c>
      <c r="AU16" s="111">
        <v>24500</v>
      </c>
      <c r="AV16" s="111">
        <f t="shared" ca="1" si="4"/>
        <v>0</v>
      </c>
      <c r="AW16" s="111">
        <f t="shared" ca="1" si="5"/>
        <v>0</v>
      </c>
      <c r="AX16" s="112">
        <f>Eingabe!$E$70</f>
        <v>4.4000000000000004</v>
      </c>
      <c r="AY16" s="168">
        <f t="shared" ca="1" si="23"/>
        <v>0</v>
      </c>
    </row>
    <row r="17" spans="1:51">
      <c r="A17" s="171">
        <f t="shared" si="24"/>
        <v>47484</v>
      </c>
      <c r="B17" s="110">
        <f>B16*(1-Eingabe!$E$19)</f>
        <v>9319.9233889862062</v>
      </c>
      <c r="C17" s="111">
        <f>B17*Eingabe!$E$34*Eingabe!$E$23</f>
        <v>671.03448400700688</v>
      </c>
      <c r="D17" s="111"/>
      <c r="E17" s="111">
        <f>E16*(1+Eingabe!$E$30)</f>
        <v>0.32220729506609563</v>
      </c>
      <c r="F17" s="111">
        <f ca="1">(I17+J17+K17+L17+M17+S17+'Absetzung für Abnutzung'!$E$6*'Absetzung für Abnutzung'!$E$10)*Eingabe!$E$35</f>
        <v>251.51348579341359</v>
      </c>
      <c r="G17" s="111">
        <f>IF(Eingabe!$E$48="Nein",B17*Eingabe!$E$35*'Steuerliche Gewinnermittlung'!E17/1.19*19%,0)</f>
        <v>95.892434961985202</v>
      </c>
      <c r="H17" s="164">
        <f t="shared" ca="1" si="6"/>
        <v>1018.4404047624057</v>
      </c>
      <c r="I17" s="111">
        <f>I16*(1+Eingabe!$E$29)</f>
        <v>285.84749384855883</v>
      </c>
      <c r="J17" s="111">
        <f>J16*(1+Eingabe!$E$29)</f>
        <v>114.33899753942356</v>
      </c>
      <c r="K17" s="111">
        <f>K16*(1+Eingabe!$E$29)</f>
        <v>34.301699261827068</v>
      </c>
      <c r="L17" s="111">
        <f>L16*(1+Eingabe!$E$29)</f>
        <v>57.16949876971178</v>
      </c>
      <c r="M17" s="111">
        <f>M16*(1+Eingabe!$E$29)</f>
        <v>11.433899753942356</v>
      </c>
      <c r="N17" s="111">
        <f>'Absetzung für Abnutzung'!D23</f>
        <v>299.3478260869565</v>
      </c>
      <c r="O17" s="111">
        <f>'Absetzung für Abnutzung'!E23</f>
        <v>0</v>
      </c>
      <c r="P17" s="117"/>
      <c r="Q17" s="117"/>
      <c r="R17" s="111">
        <f t="shared" si="7"/>
        <v>95.892434961985202</v>
      </c>
      <c r="S17" s="111">
        <f ca="1">'Darlehen 1'!H29+'Darlehen 2'!H29+'Darlehen 3'!H29</f>
        <v>79.475839793604536</v>
      </c>
      <c r="T17" s="111">
        <f ca="1">-Konten!D17</f>
        <v>0</v>
      </c>
      <c r="U17" s="168">
        <f t="shared" ca="1" si="25"/>
        <v>40.632714746395976</v>
      </c>
      <c r="V17" s="173">
        <f t="shared" si="26"/>
        <v>47484</v>
      </c>
      <c r="W17" s="111">
        <f>Eingabe!$E$54</f>
        <v>30000</v>
      </c>
      <c r="X17" s="111">
        <f t="shared" ca="1" si="0"/>
        <v>30040.632714746396</v>
      </c>
      <c r="Y17" s="111">
        <f ca="1">IF(Eingabe!$E$51="Nein",'Steuerliche Gewinnermittlung'!Z17,IF(Eingabe!$E$51="Ja",'Steuerliche Gewinnermittlung'!AA17,0))</f>
        <v>12</v>
      </c>
      <c r="Z17" s="111">
        <f t="shared" ca="1" si="8"/>
        <v>12</v>
      </c>
      <c r="AA17" s="111">
        <f t="shared" ca="1" si="9"/>
        <v>10</v>
      </c>
      <c r="AB17" s="111">
        <f ca="1">IF(Eingabe!$E$51="Nein",'Steuerliche Gewinnermittlung'!AG17-'Steuerliche Gewinnermittlung'!AD17,IF(Eingabe!$E$51="Ja",'Steuerliche Gewinnermittlung'!AL17-'Steuerliche Gewinnermittlung'!AI17,0))</f>
        <v>0</v>
      </c>
      <c r="AC17" s="111">
        <f t="shared" si="10"/>
        <v>5020</v>
      </c>
      <c r="AD17" s="111">
        <f t="shared" si="11"/>
        <v>0</v>
      </c>
      <c r="AE17" s="111">
        <f t="shared" ca="1" si="12"/>
        <v>5032</v>
      </c>
      <c r="AF17" s="111">
        <f t="shared" ca="1" si="13"/>
        <v>0</v>
      </c>
      <c r="AG17" s="111">
        <f t="shared" ca="1" si="14"/>
        <v>0</v>
      </c>
      <c r="AH17" s="111">
        <f t="shared" si="15"/>
        <v>1910</v>
      </c>
      <c r="AI17" s="111">
        <f t="shared" si="16"/>
        <v>0</v>
      </c>
      <c r="AJ17" s="111">
        <f t="shared" ca="1" si="17"/>
        <v>1920</v>
      </c>
      <c r="AK17" s="111">
        <f t="shared" ca="1" si="18"/>
        <v>0</v>
      </c>
      <c r="AL17" s="111">
        <f t="shared" ca="1" si="19"/>
        <v>0</v>
      </c>
      <c r="AM17" s="168">
        <f t="shared" ca="1" si="1"/>
        <v>12</v>
      </c>
      <c r="AN17" s="173">
        <f t="shared" si="27"/>
        <v>47484</v>
      </c>
      <c r="AO17" s="111">
        <f>IF(Eingabe!$E$71="JA",0,U17)</f>
        <v>0</v>
      </c>
      <c r="AP17" s="111">
        <f t="shared" ca="1" si="20"/>
        <v>0</v>
      </c>
      <c r="AQ17" s="111">
        <f t="shared" ca="1" si="2"/>
        <v>0</v>
      </c>
      <c r="AR17" s="111">
        <f t="shared" ca="1" si="21"/>
        <v>0</v>
      </c>
      <c r="AS17" s="111">
        <f t="shared" ca="1" si="22"/>
        <v>0</v>
      </c>
      <c r="AT17" s="111">
        <f t="shared" ca="1" si="3"/>
        <v>0</v>
      </c>
      <c r="AU17" s="111">
        <v>24500</v>
      </c>
      <c r="AV17" s="111">
        <f t="shared" ca="1" si="4"/>
        <v>0</v>
      </c>
      <c r="AW17" s="111">
        <f t="shared" ca="1" si="5"/>
        <v>0</v>
      </c>
      <c r="AX17" s="112">
        <f>Eingabe!$E$70</f>
        <v>4.4000000000000004</v>
      </c>
      <c r="AY17" s="168">
        <f t="shared" ca="1" si="23"/>
        <v>0</v>
      </c>
    </row>
    <row r="18" spans="1:51">
      <c r="A18" s="171">
        <f t="shared" si="24"/>
        <v>47849</v>
      </c>
      <c r="B18" s="110">
        <f>B17*(1-Eingabe!$E$19)</f>
        <v>9273.3237720412744</v>
      </c>
      <c r="C18" s="111">
        <f>B18*Eingabe!$E$34*Eingabe!$E$23</f>
        <v>667.67931158697183</v>
      </c>
      <c r="D18" s="111"/>
      <c r="E18" s="111">
        <f>E17*(1+Eingabe!$E$30)</f>
        <v>0.32704040449208704</v>
      </c>
      <c r="F18" s="111">
        <f ca="1">(I18+J18+K18+L18+M18+S18+'Absetzung für Abnutzung'!$E$6*'Absetzung für Abnutzung'!$E$10)*Eingabe!$E$35</f>
        <v>241.77578124481184</v>
      </c>
      <c r="G18" s="111">
        <f>IF(Eingabe!$E$48="Nein",B18*Eingabe!$E$35*'Steuerliche Gewinnermittlung'!E18/1.19*19%,0)</f>
        <v>96.844167378982888</v>
      </c>
      <c r="H18" s="164">
        <f t="shared" ca="1" si="6"/>
        <v>1006.2992602107665</v>
      </c>
      <c r="I18" s="111">
        <f>I17*(1+Eingabe!$E$29)</f>
        <v>290.13520625628718</v>
      </c>
      <c r="J18" s="111">
        <f>J17*(1+Eingabe!$E$29)</f>
        <v>116.0540825025149</v>
      </c>
      <c r="K18" s="111">
        <f>K17*(1+Eingabe!$E$29)</f>
        <v>34.816224750754472</v>
      </c>
      <c r="L18" s="111">
        <f>L17*(1+Eingabe!$E$29)</f>
        <v>58.027041251257451</v>
      </c>
      <c r="M18" s="111">
        <f>M17*(1+Eingabe!$E$29)</f>
        <v>11.605408250251489</v>
      </c>
      <c r="N18" s="111">
        <f>'Absetzung für Abnutzung'!D24</f>
        <v>299.3478260869565</v>
      </c>
      <c r="O18" s="111">
        <f>'Absetzung für Abnutzung'!E24</f>
        <v>0</v>
      </c>
      <c r="P18" s="117"/>
      <c r="Q18" s="117"/>
      <c r="R18" s="111">
        <f t="shared" si="7"/>
        <v>96.844167378982888</v>
      </c>
      <c r="S18" s="111">
        <f ca="1">'Darlehen 1'!H30+'Darlehen 2'!H30+'Darlehen 3'!H30</f>
        <v>23.240943212993983</v>
      </c>
      <c r="T18" s="111">
        <f ca="1">-Konten!D18</f>
        <v>197.51263962639962</v>
      </c>
      <c r="U18" s="168">
        <f t="shared" ca="1" si="25"/>
        <v>-121.28427910563195</v>
      </c>
      <c r="V18" s="173">
        <f t="shared" si="26"/>
        <v>47849</v>
      </c>
      <c r="W18" s="111">
        <f>Eingabe!$E$55</f>
        <v>40000</v>
      </c>
      <c r="X18" s="111">
        <f t="shared" ca="1" si="0"/>
        <v>39878.715720894368</v>
      </c>
      <c r="Y18" s="111">
        <f ca="1">IF(Eingabe!$E$51="Nein",'Steuerliche Gewinnermittlung'!Z18,IF(Eingabe!$E$51="Ja",'Steuerliche Gewinnermittlung'!AA18,0))</f>
        <v>-42</v>
      </c>
      <c r="Z18" s="111">
        <f t="shared" ca="1" si="8"/>
        <v>-42</v>
      </c>
      <c r="AA18" s="111">
        <f t="shared" ca="1" si="9"/>
        <v>-32</v>
      </c>
      <c r="AB18" s="111">
        <f ca="1">IF(Eingabe!$E$51="Nein",'Steuerliche Gewinnermittlung'!AG18-'Steuerliche Gewinnermittlung'!AD18,IF(Eingabe!$E$51="Ja",'Steuerliche Gewinnermittlung'!AL18-'Steuerliche Gewinnermittlung'!AI18,0))</f>
        <v>0</v>
      </c>
      <c r="AC18" s="111">
        <f t="shared" si="10"/>
        <v>8246</v>
      </c>
      <c r="AD18" s="111">
        <f t="shared" si="11"/>
        <v>0</v>
      </c>
      <c r="AE18" s="111">
        <f t="shared" ca="1" si="12"/>
        <v>8204</v>
      </c>
      <c r="AF18" s="111">
        <f t="shared" ca="1" si="13"/>
        <v>0</v>
      </c>
      <c r="AG18" s="111">
        <f t="shared" ca="1" si="14"/>
        <v>0</v>
      </c>
      <c r="AH18" s="111">
        <f t="shared" si="15"/>
        <v>4414</v>
      </c>
      <c r="AI18" s="111">
        <f t="shared" si="16"/>
        <v>0</v>
      </c>
      <c r="AJ18" s="111">
        <f t="shared" ca="1" si="17"/>
        <v>4382</v>
      </c>
      <c r="AK18" s="111">
        <f t="shared" ca="1" si="18"/>
        <v>0</v>
      </c>
      <c r="AL18" s="111">
        <f t="shared" ca="1" si="19"/>
        <v>0</v>
      </c>
      <c r="AM18" s="168">
        <f t="shared" ca="1" si="1"/>
        <v>-42</v>
      </c>
      <c r="AN18" s="173">
        <f t="shared" si="27"/>
        <v>47849</v>
      </c>
      <c r="AO18" s="111">
        <f>IF(Eingabe!$E$71="JA",0,U18)</f>
        <v>0</v>
      </c>
      <c r="AP18" s="111">
        <f t="shared" ca="1" si="20"/>
        <v>0</v>
      </c>
      <c r="AQ18" s="111">
        <f t="shared" ca="1" si="2"/>
        <v>0</v>
      </c>
      <c r="AR18" s="111">
        <f t="shared" ca="1" si="21"/>
        <v>0</v>
      </c>
      <c r="AS18" s="111">
        <f t="shared" ca="1" si="22"/>
        <v>0</v>
      </c>
      <c r="AT18" s="111">
        <f t="shared" ca="1" si="3"/>
        <v>0</v>
      </c>
      <c r="AU18" s="111">
        <v>24500</v>
      </c>
      <c r="AV18" s="111">
        <f t="shared" ca="1" si="4"/>
        <v>0</v>
      </c>
      <c r="AW18" s="111">
        <f t="shared" ca="1" si="5"/>
        <v>0</v>
      </c>
      <c r="AX18" s="112">
        <f>Eingabe!$E$70</f>
        <v>4.4000000000000004</v>
      </c>
      <c r="AY18" s="168">
        <f t="shared" ca="1" si="23"/>
        <v>0</v>
      </c>
    </row>
    <row r="19" spans="1:51">
      <c r="A19" s="171">
        <f t="shared" si="24"/>
        <v>48214</v>
      </c>
      <c r="B19" s="110">
        <f>B18*(1-Eingabe!$E$19)</f>
        <v>9226.9571531810689</v>
      </c>
      <c r="C19" s="111">
        <f>B19*Eingabe!$E$34*Eingabe!$E$23</f>
        <v>664.34091502903698</v>
      </c>
      <c r="D19" s="111"/>
      <c r="E19" s="111">
        <f>E18*(1+Eingabe!$E$30)</f>
        <v>0.33194601055946832</v>
      </c>
      <c r="F19" s="111">
        <f ca="1">(I19+J19+K19+L19+M19+S19+'Absetzung für Abnutzung'!$E$6*'Absetzung für Abnutzung'!$E$10)*Eingabe!$E$35</f>
        <v>238.65950649124625</v>
      </c>
      <c r="G19" s="111">
        <f>IF(Eingabe!$E$48="Nein",B19*Eingabe!$E$35*'Steuerliche Gewinnermittlung'!E19/1.19*19%,0)</f>
        <v>97.805345740219281</v>
      </c>
      <c r="H19" s="164">
        <f t="shared" ca="1" si="6"/>
        <v>1000.8057672605025</v>
      </c>
      <c r="I19" s="111">
        <f>I18*(1+Eingabe!$E$29)</f>
        <v>294.48723435013147</v>
      </c>
      <c r="J19" s="111">
        <f>J18*(1+Eingabe!$E$29)</f>
        <v>117.79489374005261</v>
      </c>
      <c r="K19" s="111">
        <f>K18*(1+Eingabe!$E$29)</f>
        <v>35.338468122015783</v>
      </c>
      <c r="L19" s="111">
        <f>L18*(1+Eingabe!$E$29)</f>
        <v>58.897446870026307</v>
      </c>
      <c r="M19" s="111">
        <f>M18*(1+Eingabe!$E$29)</f>
        <v>11.77948937400526</v>
      </c>
      <c r="N19" s="111">
        <f>'Absetzung für Abnutzung'!D25</f>
        <v>299.3478260869565</v>
      </c>
      <c r="O19" s="111">
        <f>'Absetzung für Abnutzung'!E25</f>
        <v>0</v>
      </c>
      <c r="P19" s="117"/>
      <c r="Q19" s="117"/>
      <c r="R19" s="111">
        <f t="shared" si="7"/>
        <v>97.805345740219281</v>
      </c>
      <c r="S19" s="111">
        <f ca="1">'Darlehen 1'!H31+'Darlehen 2'!H31+'Darlehen 3'!H31</f>
        <v>0</v>
      </c>
      <c r="T19" s="111">
        <f ca="1">-Konten!D19</f>
        <v>143.87277463295658</v>
      </c>
      <c r="U19" s="168">
        <f t="shared" ca="1" si="25"/>
        <v>-58.517711655861405</v>
      </c>
      <c r="V19" s="173">
        <f t="shared" si="26"/>
        <v>48214</v>
      </c>
      <c r="W19" s="111">
        <f>Eingabe!$E$55</f>
        <v>40000</v>
      </c>
      <c r="X19" s="111">
        <f t="shared" ca="1" si="0"/>
        <v>39941.482288344137</v>
      </c>
      <c r="Y19" s="111">
        <f ca="1">IF(Eingabe!$E$51="Nein",'Steuerliche Gewinnermittlung'!Z19,IF(Eingabe!$E$51="Ja",'Steuerliche Gewinnermittlung'!AA19,0))</f>
        <v>-20</v>
      </c>
      <c r="Z19" s="111">
        <f t="shared" ca="1" si="8"/>
        <v>-20</v>
      </c>
      <c r="AA19" s="111">
        <f t="shared" ca="1" si="9"/>
        <v>-16</v>
      </c>
      <c r="AB19" s="111">
        <f ca="1">IF(Eingabe!$E$51="Nein",'Steuerliche Gewinnermittlung'!AG19-'Steuerliche Gewinnermittlung'!AD19,IF(Eingabe!$E$51="Ja",'Steuerliche Gewinnermittlung'!AL19-'Steuerliche Gewinnermittlung'!AI19,0))</f>
        <v>0</v>
      </c>
      <c r="AC19" s="111">
        <f t="shared" si="10"/>
        <v>8246</v>
      </c>
      <c r="AD19" s="111">
        <f t="shared" si="11"/>
        <v>0</v>
      </c>
      <c r="AE19" s="111">
        <f t="shared" ca="1" si="12"/>
        <v>8226</v>
      </c>
      <c r="AF19" s="111">
        <f t="shared" ca="1" si="13"/>
        <v>0</v>
      </c>
      <c r="AG19" s="111">
        <f t="shared" ca="1" si="14"/>
        <v>0</v>
      </c>
      <c r="AH19" s="111">
        <f t="shared" si="15"/>
        <v>4414</v>
      </c>
      <c r="AI19" s="111">
        <f t="shared" si="16"/>
        <v>0</v>
      </c>
      <c r="AJ19" s="111">
        <f t="shared" ca="1" si="17"/>
        <v>4398</v>
      </c>
      <c r="AK19" s="111">
        <f t="shared" ca="1" si="18"/>
        <v>0</v>
      </c>
      <c r="AL19" s="111">
        <f t="shared" ca="1" si="19"/>
        <v>0</v>
      </c>
      <c r="AM19" s="168">
        <f t="shared" ca="1" si="1"/>
        <v>-20</v>
      </c>
      <c r="AN19" s="173">
        <f t="shared" si="27"/>
        <v>48214</v>
      </c>
      <c r="AO19" s="111">
        <f>IF(Eingabe!$E$71="JA",0,U19)</f>
        <v>0</v>
      </c>
      <c r="AP19" s="111">
        <f t="shared" ca="1" si="20"/>
        <v>0</v>
      </c>
      <c r="AQ19" s="111">
        <f t="shared" ca="1" si="2"/>
        <v>0</v>
      </c>
      <c r="AR19" s="111">
        <f t="shared" ca="1" si="21"/>
        <v>0</v>
      </c>
      <c r="AS19" s="111">
        <f t="shared" ca="1" si="22"/>
        <v>0</v>
      </c>
      <c r="AT19" s="111">
        <f t="shared" ca="1" si="3"/>
        <v>0</v>
      </c>
      <c r="AU19" s="111">
        <v>24500</v>
      </c>
      <c r="AV19" s="111">
        <f t="shared" ca="1" si="4"/>
        <v>0</v>
      </c>
      <c r="AW19" s="111">
        <f t="shared" ca="1" si="5"/>
        <v>0</v>
      </c>
      <c r="AX19" s="112">
        <f>Eingabe!$E$70</f>
        <v>4.4000000000000004</v>
      </c>
      <c r="AY19" s="168">
        <f t="shared" ca="1" si="23"/>
        <v>0</v>
      </c>
    </row>
    <row r="20" spans="1:51">
      <c r="A20" s="171">
        <f t="shared" si="24"/>
        <v>48580</v>
      </c>
      <c r="B20" s="110">
        <f>B19*(1-Eingabe!$E$19)</f>
        <v>9180.8223674151632</v>
      </c>
      <c r="C20" s="111">
        <f>B20*Eingabe!$E$34*Eingabe!$E$23</f>
        <v>661.01921045389179</v>
      </c>
      <c r="D20" s="111"/>
      <c r="E20" s="111">
        <f>E19*(1+Eingabe!$E$30)</f>
        <v>0.33692520071786031</v>
      </c>
      <c r="F20" s="111">
        <f ca="1">(I20+J20+K20+L20+M20+S20+'Absetzung für Abnutzung'!$E$6*'Absetzung für Abnutzung'!$E$10)*Eingabe!$E$35</f>
        <v>240.2143990886149</v>
      </c>
      <c r="G20" s="111">
        <f>IF(Eingabe!$E$48="Nein",B20*Eingabe!$E$35*'Steuerliche Gewinnermittlung'!E20/1.19*19%,0)</f>
        <v>98.776063796690977</v>
      </c>
      <c r="H20" s="164">
        <f t="shared" ca="1" si="6"/>
        <v>1000.0096733391977</v>
      </c>
      <c r="I20" s="111">
        <f>I19*(1+Eingabe!$E$29)</f>
        <v>298.90454286538341</v>
      </c>
      <c r="J20" s="111">
        <f>J19*(1+Eingabe!$E$29)</f>
        <v>119.56181714615339</v>
      </c>
      <c r="K20" s="111">
        <f>K19*(1+Eingabe!$E$29)</f>
        <v>35.868545143846013</v>
      </c>
      <c r="L20" s="111">
        <f>L19*(1+Eingabe!$E$29)</f>
        <v>59.780908573076694</v>
      </c>
      <c r="M20" s="111">
        <f>M19*(1+Eingabe!$E$29)</f>
        <v>11.956181714615338</v>
      </c>
      <c r="N20" s="111">
        <f>'Absetzung für Abnutzung'!D26</f>
        <v>299.3478260869565</v>
      </c>
      <c r="O20" s="111">
        <f>'Absetzung für Abnutzung'!E26</f>
        <v>0</v>
      </c>
      <c r="P20" s="117"/>
      <c r="Q20" s="117"/>
      <c r="R20" s="111">
        <f t="shared" si="7"/>
        <v>98.776063796690977</v>
      </c>
      <c r="S20" s="111">
        <f ca="1">'Darlehen 1'!H32+'Darlehen 2'!H32+'Darlehen 3'!H32</f>
        <v>0</v>
      </c>
      <c r="T20" s="111">
        <f ca="1">-Konten!D20</f>
        <v>86.719845858366654</v>
      </c>
      <c r="U20" s="168">
        <f t="shared" ca="1" si="25"/>
        <v>-10.906057845891439</v>
      </c>
      <c r="V20" s="173">
        <f t="shared" si="26"/>
        <v>48580</v>
      </c>
      <c r="W20" s="111">
        <f>Eingabe!$E$55</f>
        <v>40000</v>
      </c>
      <c r="X20" s="111">
        <f t="shared" ca="1" si="0"/>
        <v>39989.093942154112</v>
      </c>
      <c r="Y20" s="111">
        <f ca="1">IF(Eingabe!$E$51="Nein",'Steuerliche Gewinnermittlung'!Z20,IF(Eingabe!$E$51="Ja",'Steuerliche Gewinnermittlung'!AA20,0))</f>
        <v>-4</v>
      </c>
      <c r="Z20" s="111">
        <f t="shared" ca="1" si="8"/>
        <v>-4</v>
      </c>
      <c r="AA20" s="111">
        <f t="shared" ca="1" si="9"/>
        <v>-2</v>
      </c>
      <c r="AB20" s="111">
        <f ca="1">IF(Eingabe!$E$51="Nein",'Steuerliche Gewinnermittlung'!AG20-'Steuerliche Gewinnermittlung'!AD20,IF(Eingabe!$E$51="Ja",'Steuerliche Gewinnermittlung'!AL20-'Steuerliche Gewinnermittlung'!AI20,0))</f>
        <v>0</v>
      </c>
      <c r="AC20" s="111">
        <f t="shared" si="10"/>
        <v>8246</v>
      </c>
      <c r="AD20" s="111">
        <f t="shared" si="11"/>
        <v>0</v>
      </c>
      <c r="AE20" s="111">
        <f t="shared" ca="1" si="12"/>
        <v>8242</v>
      </c>
      <c r="AF20" s="111">
        <f t="shared" ca="1" si="13"/>
        <v>0</v>
      </c>
      <c r="AG20" s="111">
        <f t="shared" ca="1" si="14"/>
        <v>0</v>
      </c>
      <c r="AH20" s="111">
        <f t="shared" si="15"/>
        <v>4414</v>
      </c>
      <c r="AI20" s="111">
        <f t="shared" si="16"/>
        <v>0</v>
      </c>
      <c r="AJ20" s="111">
        <f t="shared" ca="1" si="17"/>
        <v>4412</v>
      </c>
      <c r="AK20" s="111">
        <f t="shared" ca="1" si="18"/>
        <v>0</v>
      </c>
      <c r="AL20" s="111">
        <f t="shared" ca="1" si="19"/>
        <v>0</v>
      </c>
      <c r="AM20" s="168">
        <f t="shared" ca="1" si="1"/>
        <v>-4</v>
      </c>
      <c r="AN20" s="173">
        <f t="shared" si="27"/>
        <v>48580</v>
      </c>
      <c r="AO20" s="111">
        <f>IF(Eingabe!$E$71="JA",0,U20)</f>
        <v>0</v>
      </c>
      <c r="AP20" s="111">
        <f t="shared" ca="1" si="20"/>
        <v>0</v>
      </c>
      <c r="AQ20" s="111">
        <f t="shared" ca="1" si="2"/>
        <v>0</v>
      </c>
      <c r="AR20" s="111">
        <f t="shared" ca="1" si="21"/>
        <v>0</v>
      </c>
      <c r="AS20" s="111">
        <f t="shared" ca="1" si="22"/>
        <v>0</v>
      </c>
      <c r="AT20" s="111">
        <f t="shared" ca="1" si="3"/>
        <v>0</v>
      </c>
      <c r="AU20" s="111">
        <v>24500</v>
      </c>
      <c r="AV20" s="111">
        <f t="shared" ca="1" si="4"/>
        <v>0</v>
      </c>
      <c r="AW20" s="111">
        <f t="shared" ca="1" si="5"/>
        <v>0</v>
      </c>
      <c r="AX20" s="112">
        <f>Eingabe!$E$70</f>
        <v>4.4000000000000004</v>
      </c>
      <c r="AY20" s="168">
        <f t="shared" ca="1" si="23"/>
        <v>0</v>
      </c>
    </row>
    <row r="21" spans="1:51">
      <c r="A21" s="171">
        <f t="shared" si="24"/>
        <v>48945</v>
      </c>
      <c r="B21" s="110">
        <f>B20*(1-Eingabe!$E$19)</f>
        <v>9134.9182555780881</v>
      </c>
      <c r="C21" s="111">
        <f>B21*Eingabe!$E$34*Eingabe!$E$23</f>
        <v>657.7141144016224</v>
      </c>
      <c r="D21" s="111"/>
      <c r="E21" s="111">
        <f>E20*(1+Eingabe!$E$30)</f>
        <v>0.34197907872862821</v>
      </c>
      <c r="F21" s="111">
        <f ca="1">(I21+J21+K21+L21+M21+S21+'Absetzung für Abnutzung'!$E$6*'Absetzung für Abnutzung'!$E$10)*Eingabe!$E$35</f>
        <v>241.79261507494417</v>
      </c>
      <c r="G21" s="111">
        <f>IF(Eingabe!$E$48="Nein",B21*Eingabe!$E$35*'Steuerliche Gewinnermittlung'!E21/1.19*19%,0)</f>
        <v>99.756416229873111</v>
      </c>
      <c r="H21" s="164">
        <f t="shared" ca="1" si="6"/>
        <v>999.26314570643967</v>
      </c>
      <c r="I21" s="111">
        <f>I20*(1+Eingabe!$E$29)</f>
        <v>303.38811100836415</v>
      </c>
      <c r="J21" s="111">
        <f>J20*(1+Eingabe!$E$29)</f>
        <v>121.35524440334568</v>
      </c>
      <c r="K21" s="111">
        <f>K20*(1+Eingabe!$E$29)</f>
        <v>36.406573321003698</v>
      </c>
      <c r="L21" s="111">
        <f>L20*(1+Eingabe!$E$29)</f>
        <v>60.67762220167284</v>
      </c>
      <c r="M21" s="111">
        <f>M20*(1+Eingabe!$E$29)</f>
        <v>12.135524440334567</v>
      </c>
      <c r="N21" s="111">
        <f>'Absetzung für Abnutzung'!D27</f>
        <v>299.3478260869565</v>
      </c>
      <c r="O21" s="111">
        <f>'Absetzung für Abnutzung'!E27</f>
        <v>0</v>
      </c>
      <c r="P21" s="117"/>
      <c r="Q21" s="117"/>
      <c r="R21" s="111">
        <f t="shared" si="7"/>
        <v>99.756416229873111</v>
      </c>
      <c r="S21" s="111">
        <f ca="1">'Darlehen 1'!H33+'Darlehen 2'!H33+'Darlehen 3'!H33</f>
        <v>0</v>
      </c>
      <c r="T21" s="111">
        <f ca="1">-Konten!D21</f>
        <v>25.891393704534156</v>
      </c>
      <c r="U21" s="168">
        <f t="shared" ca="1" si="25"/>
        <v>40.304434310354992</v>
      </c>
      <c r="V21" s="173">
        <f t="shared" si="26"/>
        <v>48945</v>
      </c>
      <c r="W21" s="111">
        <f>Eingabe!$E$55</f>
        <v>40000</v>
      </c>
      <c r="X21" s="111">
        <f t="shared" ca="1" si="0"/>
        <v>40040.304434310354</v>
      </c>
      <c r="Y21" s="111">
        <f ca="1">IF(Eingabe!$E$51="Nein",'Steuerliche Gewinnermittlung'!Z21,IF(Eingabe!$E$51="Ja",'Steuerliche Gewinnermittlung'!AA21,0))</f>
        <v>14</v>
      </c>
      <c r="Z21" s="111">
        <f t="shared" ca="1" si="8"/>
        <v>14</v>
      </c>
      <c r="AA21" s="111">
        <f t="shared" ca="1" si="9"/>
        <v>10</v>
      </c>
      <c r="AB21" s="111">
        <f ca="1">IF(Eingabe!$E$51="Nein",'Steuerliche Gewinnermittlung'!AG21-'Steuerliche Gewinnermittlung'!AD21,IF(Eingabe!$E$51="Ja",'Steuerliche Gewinnermittlung'!AL21-'Steuerliche Gewinnermittlung'!AI21,0))</f>
        <v>0</v>
      </c>
      <c r="AC21" s="111">
        <f t="shared" si="10"/>
        <v>8246</v>
      </c>
      <c r="AD21" s="111">
        <f t="shared" si="11"/>
        <v>0</v>
      </c>
      <c r="AE21" s="111">
        <f t="shared" ca="1" si="12"/>
        <v>8260</v>
      </c>
      <c r="AF21" s="111">
        <f t="shared" ca="1" si="13"/>
        <v>0</v>
      </c>
      <c r="AG21" s="111">
        <f t="shared" ca="1" si="14"/>
        <v>0</v>
      </c>
      <c r="AH21" s="111">
        <f t="shared" si="15"/>
        <v>4414</v>
      </c>
      <c r="AI21" s="111">
        <f t="shared" si="16"/>
        <v>0</v>
      </c>
      <c r="AJ21" s="111">
        <f t="shared" ca="1" si="17"/>
        <v>4424</v>
      </c>
      <c r="AK21" s="111">
        <f t="shared" ca="1" si="18"/>
        <v>0</v>
      </c>
      <c r="AL21" s="111">
        <f t="shared" ca="1" si="19"/>
        <v>0</v>
      </c>
      <c r="AM21" s="168">
        <f t="shared" ca="1" si="1"/>
        <v>14</v>
      </c>
      <c r="AN21" s="173">
        <f t="shared" si="27"/>
        <v>48945</v>
      </c>
      <c r="AO21" s="111">
        <f>IF(Eingabe!$E$71="JA",0,U21)</f>
        <v>0</v>
      </c>
      <c r="AP21" s="111">
        <f t="shared" ca="1" si="20"/>
        <v>0</v>
      </c>
      <c r="AQ21" s="111">
        <f t="shared" ca="1" si="2"/>
        <v>0</v>
      </c>
      <c r="AR21" s="111">
        <f t="shared" ca="1" si="21"/>
        <v>0</v>
      </c>
      <c r="AS21" s="111">
        <f t="shared" ca="1" si="22"/>
        <v>0</v>
      </c>
      <c r="AT21" s="111">
        <f t="shared" ca="1" si="3"/>
        <v>0</v>
      </c>
      <c r="AU21" s="111">
        <v>24500</v>
      </c>
      <c r="AV21" s="111">
        <f t="shared" ca="1" si="4"/>
        <v>0</v>
      </c>
      <c r="AW21" s="111">
        <f t="shared" ca="1" si="5"/>
        <v>0</v>
      </c>
      <c r="AX21" s="112">
        <f>Eingabe!$E$70</f>
        <v>4.4000000000000004</v>
      </c>
      <c r="AY21" s="168">
        <f t="shared" ca="1" si="23"/>
        <v>0</v>
      </c>
    </row>
    <row r="22" spans="1:51">
      <c r="A22" s="171">
        <f t="shared" si="24"/>
        <v>49310</v>
      </c>
      <c r="B22" s="110">
        <f>B21*(1-Eingabe!$E$19)</f>
        <v>9089.2436643001984</v>
      </c>
      <c r="C22" s="111">
        <f>B22*Eingabe!$E$34*Eingabe!$E$23</f>
        <v>654.4255438296143</v>
      </c>
      <c r="D22" s="111"/>
      <c r="E22" s="111">
        <f>E21*(1+Eingabe!$E$30)</f>
        <v>0.34710876490955761</v>
      </c>
      <c r="F22" s="111">
        <f ca="1">(I22+J22+K22+L22+M22+S22+'Absetzung für Abnutzung'!$E$6*'Absetzung für Abnutzung'!$E$10)*Eingabe!$E$35</f>
        <v>243.39450430106831</v>
      </c>
      <c r="G22" s="111">
        <f>IF(Eingabe!$E$48="Nein",B22*Eingabe!$E$35*'Steuerliche Gewinnermittlung'!E22/1.19*19%,0)</f>
        <v>100.74649866095461</v>
      </c>
      <c r="H22" s="164">
        <f t="shared" ca="1" si="6"/>
        <v>998.56654679163717</v>
      </c>
      <c r="I22" s="111">
        <f>I21*(1+Eingabe!$E$29)</f>
        <v>307.9389326734896</v>
      </c>
      <c r="J22" s="111">
        <f>J21*(1+Eingabe!$E$29)</f>
        <v>123.17557306939585</v>
      </c>
      <c r="K22" s="111">
        <f>K21*(1+Eingabe!$E$29)</f>
        <v>36.952671920818752</v>
      </c>
      <c r="L22" s="111">
        <f>L21*(1+Eingabe!$E$29)</f>
        <v>61.587786534697926</v>
      </c>
      <c r="M22" s="111">
        <f>M21*(1+Eingabe!$E$29)</f>
        <v>12.317557306939584</v>
      </c>
      <c r="N22" s="111">
        <f>'Absetzung für Abnutzung'!D28</f>
        <v>299.3478260869565</v>
      </c>
      <c r="O22" s="111">
        <f>'Absetzung für Abnutzung'!E28</f>
        <v>0</v>
      </c>
      <c r="P22" s="117"/>
      <c r="Q22" s="117"/>
      <c r="R22" s="111">
        <f t="shared" si="7"/>
        <v>100.74649866095461</v>
      </c>
      <c r="S22" s="111">
        <f ca="1">'Darlehen 1'!H34+'Darlehen 2'!H34+'Darlehen 3'!H34</f>
        <v>0</v>
      </c>
      <c r="T22" s="111">
        <f ca="1">-Konten!D22</f>
        <v>0</v>
      </c>
      <c r="U22" s="168">
        <f t="shared" ca="1" si="25"/>
        <v>56.499700538384332</v>
      </c>
      <c r="V22" s="173">
        <f t="shared" si="26"/>
        <v>49310</v>
      </c>
      <c r="W22" s="111">
        <f>Eingabe!$E$55</f>
        <v>40000</v>
      </c>
      <c r="X22" s="111">
        <f t="shared" ca="1" si="0"/>
        <v>40056.499700538385</v>
      </c>
      <c r="Y22" s="111">
        <f ca="1">IF(Eingabe!$E$51="Nein",'Steuerliche Gewinnermittlung'!Z22,IF(Eingabe!$E$51="Ja",'Steuerliche Gewinnermittlung'!AA22,0))</f>
        <v>19</v>
      </c>
      <c r="Z22" s="111">
        <f t="shared" ca="1" si="8"/>
        <v>19</v>
      </c>
      <c r="AA22" s="111">
        <f t="shared" ca="1" si="9"/>
        <v>14</v>
      </c>
      <c r="AB22" s="111">
        <f ca="1">IF(Eingabe!$E$51="Nein",'Steuerliche Gewinnermittlung'!AG22-'Steuerliche Gewinnermittlung'!AD22,IF(Eingabe!$E$51="Ja",'Steuerliche Gewinnermittlung'!AL22-'Steuerliche Gewinnermittlung'!AI22,0))</f>
        <v>0</v>
      </c>
      <c r="AC22" s="111">
        <f t="shared" si="10"/>
        <v>8246</v>
      </c>
      <c r="AD22" s="111">
        <f t="shared" si="11"/>
        <v>0</v>
      </c>
      <c r="AE22" s="111">
        <f t="shared" ca="1" si="12"/>
        <v>8265</v>
      </c>
      <c r="AF22" s="111">
        <f t="shared" ca="1" si="13"/>
        <v>0</v>
      </c>
      <c r="AG22" s="111">
        <f t="shared" ca="1" si="14"/>
        <v>0</v>
      </c>
      <c r="AH22" s="111">
        <f t="shared" si="15"/>
        <v>4414</v>
      </c>
      <c r="AI22" s="111">
        <f t="shared" si="16"/>
        <v>0</v>
      </c>
      <c r="AJ22" s="111">
        <f t="shared" ca="1" si="17"/>
        <v>4428</v>
      </c>
      <c r="AK22" s="111">
        <f t="shared" ca="1" si="18"/>
        <v>0</v>
      </c>
      <c r="AL22" s="111">
        <f t="shared" ca="1" si="19"/>
        <v>0</v>
      </c>
      <c r="AM22" s="168">
        <f t="shared" ca="1" si="1"/>
        <v>19</v>
      </c>
      <c r="AN22" s="173">
        <f t="shared" si="27"/>
        <v>49310</v>
      </c>
      <c r="AO22" s="111">
        <f>IF(Eingabe!$E$71="JA",0,U22)</f>
        <v>0</v>
      </c>
      <c r="AP22" s="111">
        <f t="shared" ca="1" si="20"/>
        <v>0</v>
      </c>
      <c r="AQ22" s="111">
        <f t="shared" ca="1" si="2"/>
        <v>0</v>
      </c>
      <c r="AR22" s="111">
        <f t="shared" ca="1" si="21"/>
        <v>0</v>
      </c>
      <c r="AS22" s="111">
        <f t="shared" ca="1" si="22"/>
        <v>0</v>
      </c>
      <c r="AT22" s="111">
        <f t="shared" ca="1" si="3"/>
        <v>0</v>
      </c>
      <c r="AU22" s="111">
        <v>24500</v>
      </c>
      <c r="AV22" s="111">
        <f t="shared" ca="1" si="4"/>
        <v>0</v>
      </c>
      <c r="AW22" s="111">
        <f t="shared" ca="1" si="5"/>
        <v>0</v>
      </c>
      <c r="AX22" s="112">
        <f>Eingabe!$E$70</f>
        <v>4.4000000000000004</v>
      </c>
      <c r="AY22" s="168">
        <f t="shared" ca="1" si="23"/>
        <v>0</v>
      </c>
    </row>
    <row r="23" spans="1:51">
      <c r="A23" s="171">
        <f t="shared" si="24"/>
        <v>49675</v>
      </c>
      <c r="B23" s="110">
        <f>B22*(1-Eingabe!$E$19)</f>
        <v>9043.7974459786965</v>
      </c>
      <c r="C23" s="111">
        <f>B23*Eingabe!$E$34*Eingabe!$E$23</f>
        <v>651.1534161104662</v>
      </c>
      <c r="D23" s="111"/>
      <c r="E23" s="111">
        <f>E22*(1+Eingabe!$E$30)</f>
        <v>0.35231539638320092</v>
      </c>
      <c r="F23" s="111">
        <f ca="1">(I23+J23+K23+L23+M23+S23+'Absetzung für Abnutzung'!$E$6*'Absetzung für Abnutzung'!$E$10)*Eingabe!$E$35</f>
        <v>245.02042186558432</v>
      </c>
      <c r="G23" s="111">
        <f>IF(Eingabe!$E$48="Nein",B23*Eingabe!$E$35*'Steuerliche Gewinnermittlung'!E23/1.19*19%,0)</f>
        <v>101.74640766016456</v>
      </c>
      <c r="H23" s="164">
        <f t="shared" ca="1" si="6"/>
        <v>997.9202456362151</v>
      </c>
      <c r="I23" s="111">
        <f>I22*(1+Eingabe!$E$29)</f>
        <v>312.5580166635919</v>
      </c>
      <c r="J23" s="111">
        <f>J22*(1+Eingabe!$E$29)</f>
        <v>125.02320666543677</v>
      </c>
      <c r="K23" s="111">
        <f>K22*(1+Eingabe!$E$29)</f>
        <v>37.506961999631031</v>
      </c>
      <c r="L23" s="111">
        <f>L22*(1+Eingabe!$E$29)</f>
        <v>62.511603332718387</v>
      </c>
      <c r="M23" s="111">
        <f>M22*(1+Eingabe!$E$29)</f>
        <v>12.502320666543676</v>
      </c>
      <c r="N23" s="111">
        <f>'Absetzung für Abnutzung'!D29</f>
        <v>299.3478260869565</v>
      </c>
      <c r="O23" s="111">
        <f>'Absetzung für Abnutzung'!E29</f>
        <v>0</v>
      </c>
      <c r="P23" s="117"/>
      <c r="Q23" s="117"/>
      <c r="R23" s="111">
        <f t="shared" si="7"/>
        <v>101.74640766016456</v>
      </c>
      <c r="S23" s="111">
        <f ca="1">'Darlehen 1'!H35+'Darlehen 2'!H35+'Darlehen 3'!H35</f>
        <v>0</v>
      </c>
      <c r="T23" s="111">
        <f ca="1">-Konten!D23</f>
        <v>0</v>
      </c>
      <c r="U23" s="168">
        <f t="shared" ca="1" si="25"/>
        <v>46.723902561172267</v>
      </c>
      <c r="V23" s="173">
        <f t="shared" si="26"/>
        <v>49675</v>
      </c>
      <c r="W23" s="111">
        <f>Eingabe!$E$55</f>
        <v>40000</v>
      </c>
      <c r="X23" s="111">
        <f t="shared" ca="1" si="0"/>
        <v>40046.723902561171</v>
      </c>
      <c r="Y23" s="111">
        <f ca="1">IF(Eingabe!$E$51="Nein",'Steuerliche Gewinnermittlung'!Z23,IF(Eingabe!$E$51="Ja",'Steuerliche Gewinnermittlung'!AA23,0))</f>
        <v>16</v>
      </c>
      <c r="Z23" s="111">
        <f t="shared" ca="1" si="8"/>
        <v>16</v>
      </c>
      <c r="AA23" s="111">
        <f t="shared" ca="1" si="9"/>
        <v>12</v>
      </c>
      <c r="AB23" s="111">
        <f ca="1">IF(Eingabe!$E$51="Nein",'Steuerliche Gewinnermittlung'!AG23-'Steuerliche Gewinnermittlung'!AD23,IF(Eingabe!$E$51="Ja",'Steuerliche Gewinnermittlung'!AL23-'Steuerliche Gewinnermittlung'!AI23,0))</f>
        <v>0</v>
      </c>
      <c r="AC23" s="111">
        <f t="shared" si="10"/>
        <v>8246</v>
      </c>
      <c r="AD23" s="111">
        <f t="shared" si="11"/>
        <v>0</v>
      </c>
      <c r="AE23" s="111">
        <f t="shared" ca="1" si="12"/>
        <v>8262</v>
      </c>
      <c r="AF23" s="111">
        <f t="shared" ca="1" si="13"/>
        <v>0</v>
      </c>
      <c r="AG23" s="111">
        <f t="shared" ca="1" si="14"/>
        <v>0</v>
      </c>
      <c r="AH23" s="111">
        <f t="shared" si="15"/>
        <v>4414</v>
      </c>
      <c r="AI23" s="111">
        <f t="shared" si="16"/>
        <v>0</v>
      </c>
      <c r="AJ23" s="111">
        <f t="shared" ca="1" si="17"/>
        <v>4426</v>
      </c>
      <c r="AK23" s="111">
        <f t="shared" ca="1" si="18"/>
        <v>0</v>
      </c>
      <c r="AL23" s="111">
        <f t="shared" ca="1" si="19"/>
        <v>0</v>
      </c>
      <c r="AM23" s="168">
        <f t="shared" ca="1" si="1"/>
        <v>16</v>
      </c>
      <c r="AN23" s="173">
        <f t="shared" si="27"/>
        <v>49675</v>
      </c>
      <c r="AO23" s="111">
        <f>IF(Eingabe!$E$71="JA",0,U23)</f>
        <v>0</v>
      </c>
      <c r="AP23" s="111">
        <f t="shared" ca="1" si="20"/>
        <v>0</v>
      </c>
      <c r="AQ23" s="111">
        <f t="shared" ca="1" si="2"/>
        <v>0</v>
      </c>
      <c r="AR23" s="111">
        <f t="shared" ca="1" si="21"/>
        <v>0</v>
      </c>
      <c r="AS23" s="111">
        <f t="shared" ca="1" si="22"/>
        <v>0</v>
      </c>
      <c r="AT23" s="111">
        <f t="shared" ca="1" si="3"/>
        <v>0</v>
      </c>
      <c r="AU23" s="111">
        <v>24500</v>
      </c>
      <c r="AV23" s="111">
        <f t="shared" ca="1" si="4"/>
        <v>0</v>
      </c>
      <c r="AW23" s="111">
        <f t="shared" ca="1" si="5"/>
        <v>0</v>
      </c>
      <c r="AX23" s="112">
        <f>Eingabe!$E$70</f>
        <v>4.4000000000000004</v>
      </c>
      <c r="AY23" s="168">
        <f t="shared" ca="1" si="23"/>
        <v>0</v>
      </c>
    </row>
    <row r="24" spans="1:51">
      <c r="A24" s="171">
        <f t="shared" si="24"/>
        <v>50041</v>
      </c>
      <c r="B24" s="110">
        <f>B23*(1-Eingabe!$E$19)</f>
        <v>8998.5784587488033</v>
      </c>
      <c r="C24" s="111">
        <f>B24*Eingabe!$E$34*Eingabe!$E$23</f>
        <v>647.89764902991385</v>
      </c>
      <c r="D24" s="111"/>
      <c r="E24" s="111">
        <f>E23*(1+Eingabe!$E$30)</f>
        <v>0.35760012732894891</v>
      </c>
      <c r="F24" s="111">
        <f ca="1">(I24+J24+K24+L24+M24+S24+'Absetzung für Abnutzung'!$E$6*'Absetzung für Abnutzung'!$E$10)*Eingabe!$E$35</f>
        <v>246.67072819356807</v>
      </c>
      <c r="G24" s="111">
        <f>IF(Eingabe!$E$48="Nein",B24*Eingabe!$E$35*'Steuerliche Gewinnermittlung'!E24/1.19*19%,0)</f>
        <v>102.7562407561917</v>
      </c>
      <c r="H24" s="164">
        <f t="shared" ca="1" si="6"/>
        <v>997.32461797967358</v>
      </c>
      <c r="I24" s="111">
        <f>I23*(1+Eingabe!$E$29)</f>
        <v>317.24638691354573</v>
      </c>
      <c r="J24" s="111">
        <f>J23*(1+Eingabe!$E$29)</f>
        <v>126.89855476541831</v>
      </c>
      <c r="K24" s="111">
        <f>K23*(1+Eingabe!$E$29)</f>
        <v>38.069566429625496</v>
      </c>
      <c r="L24" s="111">
        <f>L23*(1+Eingabe!$E$29)</f>
        <v>63.449277382709155</v>
      </c>
      <c r="M24" s="111">
        <f>M23*(1+Eingabe!$E$29)</f>
        <v>12.68985547654183</v>
      </c>
      <c r="N24" s="111">
        <f>'Absetzung für Abnutzung'!D30</f>
        <v>299.3478260869565</v>
      </c>
      <c r="O24" s="111">
        <f>'Absetzung für Abnutzung'!E30</f>
        <v>0</v>
      </c>
      <c r="P24" s="117"/>
      <c r="Q24" s="117"/>
      <c r="R24" s="111">
        <f t="shared" si="7"/>
        <v>102.7562407561917</v>
      </c>
      <c r="S24" s="111">
        <f ca="1">'Darlehen 1'!H36+'Darlehen 2'!H36+'Darlehen 3'!H36</f>
        <v>0</v>
      </c>
      <c r="T24" s="111">
        <f ca="1">-Konten!D24</f>
        <v>0</v>
      </c>
      <c r="U24" s="168">
        <f t="shared" ca="1" si="25"/>
        <v>36.866910168684782</v>
      </c>
      <c r="V24" s="173">
        <f t="shared" si="26"/>
        <v>50041</v>
      </c>
      <c r="W24" s="111">
        <f>Eingabe!$E$55</f>
        <v>40000</v>
      </c>
      <c r="X24" s="111">
        <f t="shared" ca="1" si="0"/>
        <v>40036.866910168683</v>
      </c>
      <c r="Y24" s="111">
        <f ca="1">IF(Eingabe!$E$51="Nein",'Steuerliche Gewinnermittlung'!Z24,IF(Eingabe!$E$51="Ja",'Steuerliche Gewinnermittlung'!AA24,0))</f>
        <v>12</v>
      </c>
      <c r="Z24" s="111">
        <f t="shared" ca="1" si="8"/>
        <v>12</v>
      </c>
      <c r="AA24" s="111">
        <f t="shared" ca="1" si="9"/>
        <v>10</v>
      </c>
      <c r="AB24" s="111">
        <f ca="1">IF(Eingabe!$E$51="Nein",'Steuerliche Gewinnermittlung'!AG24-'Steuerliche Gewinnermittlung'!AD24,IF(Eingabe!$E$51="Ja",'Steuerliche Gewinnermittlung'!AL24-'Steuerliche Gewinnermittlung'!AI24,0))</f>
        <v>0</v>
      </c>
      <c r="AC24" s="111">
        <f t="shared" si="10"/>
        <v>8246</v>
      </c>
      <c r="AD24" s="111">
        <f t="shared" si="11"/>
        <v>0</v>
      </c>
      <c r="AE24" s="111">
        <f t="shared" ca="1" si="12"/>
        <v>8258</v>
      </c>
      <c r="AF24" s="111">
        <f t="shared" ca="1" si="13"/>
        <v>0</v>
      </c>
      <c r="AG24" s="111">
        <f t="shared" ca="1" si="14"/>
        <v>0</v>
      </c>
      <c r="AH24" s="111">
        <f t="shared" si="15"/>
        <v>4414</v>
      </c>
      <c r="AI24" s="111">
        <f t="shared" si="16"/>
        <v>0</v>
      </c>
      <c r="AJ24" s="111">
        <f t="shared" ca="1" si="17"/>
        <v>4424</v>
      </c>
      <c r="AK24" s="111">
        <f t="shared" ca="1" si="18"/>
        <v>0</v>
      </c>
      <c r="AL24" s="111">
        <f t="shared" ca="1" si="19"/>
        <v>0</v>
      </c>
      <c r="AM24" s="168">
        <f t="shared" ca="1" si="1"/>
        <v>12</v>
      </c>
      <c r="AN24" s="173">
        <f t="shared" si="27"/>
        <v>50041</v>
      </c>
      <c r="AO24" s="111">
        <f>IF(Eingabe!$E$71="JA",0,U24)</f>
        <v>0</v>
      </c>
      <c r="AP24" s="111">
        <f t="shared" ca="1" si="20"/>
        <v>0</v>
      </c>
      <c r="AQ24" s="111">
        <f t="shared" ca="1" si="2"/>
        <v>0</v>
      </c>
      <c r="AR24" s="111">
        <f t="shared" ca="1" si="21"/>
        <v>0</v>
      </c>
      <c r="AS24" s="111">
        <f t="shared" ca="1" si="22"/>
        <v>0</v>
      </c>
      <c r="AT24" s="111">
        <f t="shared" ca="1" si="3"/>
        <v>0</v>
      </c>
      <c r="AU24" s="111">
        <v>24500</v>
      </c>
      <c r="AV24" s="111">
        <f t="shared" ca="1" si="4"/>
        <v>0</v>
      </c>
      <c r="AW24" s="111">
        <f t="shared" ca="1" si="5"/>
        <v>0</v>
      </c>
      <c r="AX24" s="112">
        <f>Eingabe!$E$70</f>
        <v>4.4000000000000004</v>
      </c>
      <c r="AY24" s="168">
        <f t="shared" ca="1" si="23"/>
        <v>0</v>
      </c>
    </row>
    <row r="25" spans="1:51">
      <c r="A25" s="171">
        <f t="shared" si="24"/>
        <v>50406</v>
      </c>
      <c r="B25" s="110">
        <f>B24*(1-Eingabe!$E$19)</f>
        <v>8953.58556645506</v>
      </c>
      <c r="C25" s="111">
        <f>B25*Eingabe!$E$34*Eingabe!$E$23</f>
        <v>644.65816078476428</v>
      </c>
      <c r="D25" s="111"/>
      <c r="E25" s="111">
        <f>E24*(1+Eingabe!$E$30)</f>
        <v>0.3629641292388831</v>
      </c>
      <c r="F25" s="111">
        <f ca="1">(I25+J25+K25+L25+M25+S25+'Absetzung für Abnutzung'!$E$6*'Absetzung für Abnutzung'!$E$10)*Eingabe!$E$35</f>
        <v>248.34578911647154</v>
      </c>
      <c r="G25" s="111">
        <f>IF(Eingabe!$E$48="Nein",B25*Eingabe!$E$35*'Steuerliche Gewinnermittlung'!E25/1.19*19%,0)</f>
        <v>103.77609644569688</v>
      </c>
      <c r="H25" s="164">
        <f t="shared" ca="1" si="6"/>
        <v>996.78004634693275</v>
      </c>
      <c r="I25" s="111">
        <f>I24*(1+Eingabe!$E$29)</f>
        <v>322.00508271724891</v>
      </c>
      <c r="J25" s="111">
        <f>J24*(1+Eingabe!$E$29)</f>
        <v>128.80203308689957</v>
      </c>
      <c r="K25" s="111">
        <f>K24*(1+Eingabe!$E$29)</f>
        <v>38.640609926069878</v>
      </c>
      <c r="L25" s="111">
        <f>L24*(1+Eingabe!$E$29)</f>
        <v>64.401016543449785</v>
      </c>
      <c r="M25" s="111">
        <f>M24*(1+Eingabe!$E$29)</f>
        <v>12.880203308689955</v>
      </c>
      <c r="N25" s="111">
        <f>'Absetzung für Abnutzung'!D31</f>
        <v>299.3478260869565</v>
      </c>
      <c r="O25" s="111">
        <f>'Absetzung für Abnutzung'!E31</f>
        <v>0</v>
      </c>
      <c r="P25" s="117"/>
      <c r="Q25" s="117"/>
      <c r="R25" s="111">
        <f t="shared" si="7"/>
        <v>103.77609644569688</v>
      </c>
      <c r="S25" s="111">
        <f ca="1">'Darlehen 1'!H37+'Darlehen 2'!H37+'Darlehen 3'!H37</f>
        <v>0</v>
      </c>
      <c r="T25" s="111">
        <f ca="1">-Konten!D25</f>
        <v>0</v>
      </c>
      <c r="U25" s="168">
        <f t="shared" ca="1" si="25"/>
        <v>26.927178231921317</v>
      </c>
      <c r="V25" s="173">
        <f t="shared" si="26"/>
        <v>50406</v>
      </c>
      <c r="W25" s="111">
        <f>Eingabe!$E$55</f>
        <v>40000</v>
      </c>
      <c r="X25" s="111">
        <f t="shared" ca="1" si="0"/>
        <v>40026.927178231919</v>
      </c>
      <c r="Y25" s="111">
        <f ca="1">IF(Eingabe!$E$51="Nein",'Steuerliche Gewinnermittlung'!Z25,IF(Eingabe!$E$51="Ja",'Steuerliche Gewinnermittlung'!AA25,0))</f>
        <v>9</v>
      </c>
      <c r="Z25" s="111">
        <f t="shared" ca="1" si="8"/>
        <v>9</v>
      </c>
      <c r="AA25" s="111">
        <f t="shared" ca="1" si="9"/>
        <v>8</v>
      </c>
      <c r="AB25" s="111">
        <f ca="1">IF(Eingabe!$E$51="Nein",'Steuerliche Gewinnermittlung'!AG25-'Steuerliche Gewinnermittlung'!AD25,IF(Eingabe!$E$51="Ja",'Steuerliche Gewinnermittlung'!AL25-'Steuerliche Gewinnermittlung'!AI25,0))</f>
        <v>0</v>
      </c>
      <c r="AC25" s="111">
        <f t="shared" si="10"/>
        <v>8246</v>
      </c>
      <c r="AD25" s="111">
        <f t="shared" si="11"/>
        <v>0</v>
      </c>
      <c r="AE25" s="111">
        <f t="shared" ca="1" si="12"/>
        <v>8255</v>
      </c>
      <c r="AF25" s="111">
        <f t="shared" ca="1" si="13"/>
        <v>0</v>
      </c>
      <c r="AG25" s="111">
        <f t="shared" ca="1" si="14"/>
        <v>0</v>
      </c>
      <c r="AH25" s="111">
        <f t="shared" si="15"/>
        <v>4414</v>
      </c>
      <c r="AI25" s="111">
        <f t="shared" si="16"/>
        <v>0</v>
      </c>
      <c r="AJ25" s="111">
        <f t="shared" ca="1" si="17"/>
        <v>4422</v>
      </c>
      <c r="AK25" s="111">
        <f t="shared" ca="1" si="18"/>
        <v>0</v>
      </c>
      <c r="AL25" s="111">
        <f t="shared" ca="1" si="19"/>
        <v>0</v>
      </c>
      <c r="AM25" s="168">
        <f t="shared" ca="1" si="1"/>
        <v>9</v>
      </c>
      <c r="AN25" s="173">
        <f t="shared" si="27"/>
        <v>50406</v>
      </c>
      <c r="AO25" s="111">
        <f>IF(Eingabe!$E$71="JA",0,U25)</f>
        <v>0</v>
      </c>
      <c r="AP25" s="111">
        <f t="shared" ca="1" si="20"/>
        <v>0</v>
      </c>
      <c r="AQ25" s="111">
        <f t="shared" ca="1" si="2"/>
        <v>0</v>
      </c>
      <c r="AR25" s="111">
        <f t="shared" ca="1" si="21"/>
        <v>0</v>
      </c>
      <c r="AS25" s="111">
        <f t="shared" ca="1" si="22"/>
        <v>0</v>
      </c>
      <c r="AT25" s="111">
        <f t="shared" ca="1" si="3"/>
        <v>0</v>
      </c>
      <c r="AU25" s="111">
        <v>24500</v>
      </c>
      <c r="AV25" s="111">
        <f t="shared" ca="1" si="4"/>
        <v>0</v>
      </c>
      <c r="AW25" s="111">
        <f t="shared" ca="1" si="5"/>
        <v>0</v>
      </c>
      <c r="AX25" s="112">
        <f>Eingabe!$E$70</f>
        <v>4.4000000000000004</v>
      </c>
      <c r="AY25" s="168">
        <f t="shared" ca="1" si="23"/>
        <v>0</v>
      </c>
    </row>
    <row r="26" spans="1:51">
      <c r="A26" s="171">
        <f t="shared" si="24"/>
        <v>50771</v>
      </c>
      <c r="B26" s="110">
        <f>B25*(1-Eingabe!$E$19)</f>
        <v>8908.8176386227842</v>
      </c>
      <c r="C26" s="111">
        <f>B26*Eingabe!$E$34*Eingabe!$E$23</f>
        <v>641.43486998084052</v>
      </c>
      <c r="D26" s="111"/>
      <c r="E26" s="111">
        <f>E25*(1+Eingabe!$E$30)</f>
        <v>0.36840859117746633</v>
      </c>
      <c r="F26" s="111">
        <f ca="1">(I26+J26+K26+L26+M26+S26+'Absetzung für Abnutzung'!$E$6*'Absetzung für Abnutzung'!$E$10)*Eingabe!$E$35</f>
        <v>250.04597595321866</v>
      </c>
      <c r="G26" s="111">
        <f>IF(Eingabe!$E$48="Nein",B26*Eingabe!$E$35*'Steuerliche Gewinnermittlung'!E26/1.19*19%,0)</f>
        <v>104.80607420292043</v>
      </c>
      <c r="H26" s="164">
        <f t="shared" ca="1" si="6"/>
        <v>996.28692013697957</v>
      </c>
      <c r="I26" s="111">
        <f>I25*(1+Eingabe!$E$29)</f>
        <v>326.83515895800764</v>
      </c>
      <c r="J26" s="111">
        <f>J25*(1+Eingabe!$E$29)</f>
        <v>130.73406358320304</v>
      </c>
      <c r="K26" s="111">
        <f>K25*(1+Eingabe!$E$29)</f>
        <v>39.220219074960923</v>
      </c>
      <c r="L26" s="111">
        <f>L25*(1+Eingabe!$E$29)</f>
        <v>65.367031791601519</v>
      </c>
      <c r="M26" s="111">
        <f>M25*(1+Eingabe!$E$29)</f>
        <v>13.073406358320304</v>
      </c>
      <c r="N26" s="111">
        <f>'Absetzung für Abnutzung'!D32</f>
        <v>299.3478260869565</v>
      </c>
      <c r="O26" s="111">
        <f>'Absetzung für Abnutzung'!E32</f>
        <v>0</v>
      </c>
      <c r="P26" s="117"/>
      <c r="Q26" s="117"/>
      <c r="R26" s="111">
        <f t="shared" si="7"/>
        <v>104.80607420292043</v>
      </c>
      <c r="S26" s="111">
        <f ca="1">'Darlehen 1'!H38+'Darlehen 2'!H38+'Darlehen 3'!H38</f>
        <v>0</v>
      </c>
      <c r="T26" s="111">
        <f ca="1">-Konten!D26</f>
        <v>0</v>
      </c>
      <c r="U26" s="168">
        <f t="shared" ca="1" si="25"/>
        <v>16.903140081009298</v>
      </c>
      <c r="V26" s="173">
        <f t="shared" si="26"/>
        <v>50771</v>
      </c>
      <c r="W26" s="111">
        <f>Eingabe!$E$55</f>
        <v>40000</v>
      </c>
      <c r="X26" s="111">
        <f t="shared" ca="1" si="0"/>
        <v>40016.903140081013</v>
      </c>
      <c r="Y26" s="111">
        <f ca="1">IF(Eingabe!$E$51="Nein",'Steuerliche Gewinnermittlung'!Z26,IF(Eingabe!$E$51="Ja",'Steuerliche Gewinnermittlung'!AA26,0))</f>
        <v>5</v>
      </c>
      <c r="Z26" s="111">
        <f t="shared" ca="1" si="8"/>
        <v>5</v>
      </c>
      <c r="AA26" s="111">
        <f t="shared" ca="1" si="9"/>
        <v>4</v>
      </c>
      <c r="AB26" s="111">
        <f ca="1">IF(Eingabe!$E$51="Nein",'Steuerliche Gewinnermittlung'!AG26-'Steuerliche Gewinnermittlung'!AD26,IF(Eingabe!$E$51="Ja",'Steuerliche Gewinnermittlung'!AL26-'Steuerliche Gewinnermittlung'!AI26,0))</f>
        <v>0</v>
      </c>
      <c r="AC26" s="111">
        <f t="shared" si="10"/>
        <v>8246</v>
      </c>
      <c r="AD26" s="111">
        <f t="shared" si="11"/>
        <v>0</v>
      </c>
      <c r="AE26" s="111">
        <f t="shared" ca="1" si="12"/>
        <v>8251</v>
      </c>
      <c r="AF26" s="111">
        <f t="shared" ca="1" si="13"/>
        <v>0</v>
      </c>
      <c r="AG26" s="111">
        <f t="shared" ca="1" si="14"/>
        <v>0</v>
      </c>
      <c r="AH26" s="111">
        <f t="shared" si="15"/>
        <v>4414</v>
      </c>
      <c r="AI26" s="111">
        <f t="shared" si="16"/>
        <v>0</v>
      </c>
      <c r="AJ26" s="111">
        <f t="shared" ca="1" si="17"/>
        <v>4418</v>
      </c>
      <c r="AK26" s="111">
        <f t="shared" ca="1" si="18"/>
        <v>0</v>
      </c>
      <c r="AL26" s="111">
        <f t="shared" ca="1" si="19"/>
        <v>0</v>
      </c>
      <c r="AM26" s="168">
        <f t="shared" ca="1" si="1"/>
        <v>5</v>
      </c>
      <c r="AN26" s="173">
        <f t="shared" si="27"/>
        <v>50771</v>
      </c>
      <c r="AO26" s="111">
        <f>IF(Eingabe!$E$71="JA",0,U26)</f>
        <v>0</v>
      </c>
      <c r="AP26" s="111">
        <f t="shared" ca="1" si="20"/>
        <v>0</v>
      </c>
      <c r="AQ26" s="111">
        <f t="shared" ca="1" si="2"/>
        <v>0</v>
      </c>
      <c r="AR26" s="111">
        <f t="shared" ca="1" si="21"/>
        <v>0</v>
      </c>
      <c r="AS26" s="111">
        <f t="shared" ca="1" si="22"/>
        <v>0</v>
      </c>
      <c r="AT26" s="111">
        <f t="shared" ca="1" si="3"/>
        <v>0</v>
      </c>
      <c r="AU26" s="111">
        <v>24500</v>
      </c>
      <c r="AV26" s="111">
        <f t="shared" ca="1" si="4"/>
        <v>0</v>
      </c>
      <c r="AW26" s="111">
        <f t="shared" ca="1" si="5"/>
        <v>0</v>
      </c>
      <c r="AX26" s="112">
        <f>Eingabe!$E$70</f>
        <v>4.4000000000000004</v>
      </c>
      <c r="AY26" s="168">
        <f t="shared" ca="1" si="23"/>
        <v>0</v>
      </c>
    </row>
    <row r="27" spans="1:51">
      <c r="A27" s="171">
        <f t="shared" si="24"/>
        <v>51136</v>
      </c>
      <c r="B27" s="110">
        <f>B26*(1-Eingabe!$E$19)</f>
        <v>8864.2735504296706</v>
      </c>
      <c r="C27" s="111">
        <f>B27*Eingabe!$E$34*Eingabe!$E$23</f>
        <v>638.2276956309363</v>
      </c>
      <c r="D27" s="111"/>
      <c r="E27" s="111">
        <f>E26*(1+Eingabe!$E$30)</f>
        <v>0.37393472004512829</v>
      </c>
      <c r="F27" s="111">
        <f ca="1">(I27+J27+K27+L27+M27+S27+'Absetzung für Abnutzung'!$E$6*'Absetzung für Abnutzung'!$E$10)*Eingabe!$E$35</f>
        <v>251.77166559251694</v>
      </c>
      <c r="G27" s="111">
        <f>IF(Eingabe!$E$48="Nein",B27*Eingabe!$E$35*'Steuerliche Gewinnermittlung'!E27/1.19*19%,0)</f>
        <v>105.8462744893844</v>
      </c>
      <c r="H27" s="164">
        <f t="shared" ca="1" si="6"/>
        <v>995.84563571283763</v>
      </c>
      <c r="I27" s="111">
        <f>I26*(1+Eingabe!$E$29)</f>
        <v>331.73768634237774</v>
      </c>
      <c r="J27" s="111">
        <f>J26*(1+Eingabe!$E$29)</f>
        <v>132.69507453695107</v>
      </c>
      <c r="K27" s="111">
        <f>K26*(1+Eingabe!$E$29)</f>
        <v>39.80852236108533</v>
      </c>
      <c r="L27" s="111">
        <f>L26*(1+Eingabe!$E$29)</f>
        <v>66.347537268475534</v>
      </c>
      <c r="M27" s="111">
        <f>M26*(1+Eingabe!$E$29)</f>
        <v>13.269507453695107</v>
      </c>
      <c r="N27" s="111">
        <f>'Absetzung für Abnutzung'!D33</f>
        <v>299.3478260869565</v>
      </c>
      <c r="O27" s="111">
        <f>'Absetzung für Abnutzung'!E33</f>
        <v>0</v>
      </c>
      <c r="P27" s="117"/>
      <c r="Q27" s="117"/>
      <c r="R27" s="111">
        <f t="shared" si="7"/>
        <v>105.8462744893844</v>
      </c>
      <c r="S27" s="111">
        <f ca="1">'Darlehen 1'!H39+'Darlehen 2'!H39+'Darlehen 3'!H39</f>
        <v>0</v>
      </c>
      <c r="T27" s="111">
        <f ca="1">-Konten!D27</f>
        <v>0</v>
      </c>
      <c r="U27" s="168">
        <f t="shared" ca="1" si="25"/>
        <v>6.7932071739118953</v>
      </c>
      <c r="V27" s="173">
        <f t="shared" si="26"/>
        <v>51136</v>
      </c>
      <c r="W27" s="111">
        <f>Eingabe!$E$55</f>
        <v>40000</v>
      </c>
      <c r="X27" s="111">
        <f t="shared" ca="1" si="0"/>
        <v>40006.793207173912</v>
      </c>
      <c r="Y27" s="111">
        <f ca="1">IF(Eingabe!$E$51="Nein",'Steuerliche Gewinnermittlung'!Z27,IF(Eingabe!$E$51="Ja",'Steuerliche Gewinnermittlung'!AA27,0))</f>
        <v>2</v>
      </c>
      <c r="Z27" s="111">
        <f t="shared" ca="1" si="8"/>
        <v>2</v>
      </c>
      <c r="AA27" s="111">
        <f t="shared" ca="1" si="9"/>
        <v>2</v>
      </c>
      <c r="AB27" s="111">
        <f ca="1">IF(Eingabe!$E$51="Nein",'Steuerliche Gewinnermittlung'!AG27-'Steuerliche Gewinnermittlung'!AD27,IF(Eingabe!$E$51="Ja",'Steuerliche Gewinnermittlung'!AL27-'Steuerliche Gewinnermittlung'!AI27,0))</f>
        <v>0</v>
      </c>
      <c r="AC27" s="111">
        <f t="shared" si="10"/>
        <v>8246</v>
      </c>
      <c r="AD27" s="111">
        <f t="shared" si="11"/>
        <v>0</v>
      </c>
      <c r="AE27" s="111">
        <f t="shared" ca="1" si="12"/>
        <v>8248</v>
      </c>
      <c r="AF27" s="111">
        <f t="shared" ca="1" si="13"/>
        <v>0</v>
      </c>
      <c r="AG27" s="111">
        <f t="shared" ca="1" si="14"/>
        <v>0</v>
      </c>
      <c r="AH27" s="111">
        <f t="shared" si="15"/>
        <v>4414</v>
      </c>
      <c r="AI27" s="111">
        <f t="shared" si="16"/>
        <v>0</v>
      </c>
      <c r="AJ27" s="111">
        <f t="shared" ca="1" si="17"/>
        <v>4416</v>
      </c>
      <c r="AK27" s="111">
        <f t="shared" ca="1" si="18"/>
        <v>0</v>
      </c>
      <c r="AL27" s="111">
        <f t="shared" ca="1" si="19"/>
        <v>0</v>
      </c>
      <c r="AM27" s="168">
        <f t="shared" ca="1" si="1"/>
        <v>2</v>
      </c>
      <c r="AN27" s="173">
        <f t="shared" si="27"/>
        <v>51136</v>
      </c>
      <c r="AO27" s="111">
        <f>IF(Eingabe!$E$71="JA",0,U27)</f>
        <v>0</v>
      </c>
      <c r="AP27" s="111">
        <f t="shared" ca="1" si="20"/>
        <v>0</v>
      </c>
      <c r="AQ27" s="111">
        <f t="shared" ca="1" si="2"/>
        <v>0</v>
      </c>
      <c r="AR27" s="111">
        <f t="shared" ca="1" si="21"/>
        <v>0</v>
      </c>
      <c r="AS27" s="111">
        <f t="shared" ca="1" si="22"/>
        <v>0</v>
      </c>
      <c r="AT27" s="111">
        <f t="shared" ca="1" si="3"/>
        <v>0</v>
      </c>
      <c r="AU27" s="111">
        <v>24500</v>
      </c>
      <c r="AV27" s="111">
        <f t="shared" ca="1" si="4"/>
        <v>0</v>
      </c>
      <c r="AW27" s="111">
        <f t="shared" ca="1" si="5"/>
        <v>0</v>
      </c>
      <c r="AX27" s="112">
        <f>Eingabe!$E$70</f>
        <v>4.4000000000000004</v>
      </c>
      <c r="AY27" s="168">
        <f t="shared" ca="1" si="23"/>
        <v>0</v>
      </c>
    </row>
    <row r="28" spans="1:51">
      <c r="A28" s="171">
        <f t="shared" si="24"/>
        <v>51502</v>
      </c>
      <c r="B28" s="110">
        <f>B27*(1-Eingabe!$E$19)</f>
        <v>8819.9521826775217</v>
      </c>
      <c r="C28" s="111">
        <f>B28*Eingabe!$E$34*Eingabe!$E$23</f>
        <v>635.0365571527816</v>
      </c>
      <c r="D28" s="111"/>
      <c r="E28" s="111">
        <f>E27*(1+Eingabe!$E$30)</f>
        <v>0.37954374084580517</v>
      </c>
      <c r="F28" s="111">
        <f ca="1">(I28+J28+K28+L28+M28+S28+'Absetzung für Abnutzung'!E6*'Absetzung für Abnutzung'!E10*(12-'Absetzung für Abnutzung'!J8)/12)*Eingabe!$E$35</f>
        <v>163.52324057640465</v>
      </c>
      <c r="G28" s="111">
        <f>IF(Eingabe!$E$48="Nein",B28*Eingabe!$E$35*'Steuerliche Gewinnermittlung'!E28/1.19*19%,0)</f>
        <v>106.89679876369152</v>
      </c>
      <c r="H28" s="164">
        <f t="shared" ca="1" si="6"/>
        <v>905.45659649287779</v>
      </c>
      <c r="I28" s="111">
        <f>I27*(1+Eingabe!$E$29)</f>
        <v>336.71375163751338</v>
      </c>
      <c r="J28" s="111">
        <f>J27*(1+Eingabe!$E$29)</f>
        <v>134.68550065500531</v>
      </c>
      <c r="K28" s="111">
        <f>K27*(1+Eingabe!$E$29)</f>
        <v>40.405650196501604</v>
      </c>
      <c r="L28" s="111">
        <f>L27*(1+Eingabe!$E$29)</f>
        <v>67.342750327502657</v>
      </c>
      <c r="M28" s="111">
        <f>M27*(1+Eingabe!$E$29)</f>
        <v>13.468550065500532</v>
      </c>
      <c r="N28" s="111">
        <f>'Absetzung für Abnutzung'!D34</f>
        <v>99.782608695652925</v>
      </c>
      <c r="O28" s="111">
        <f>'Absetzung für Abnutzung'!E34</f>
        <v>0</v>
      </c>
      <c r="P28" s="117"/>
      <c r="Q28" s="117"/>
      <c r="R28" s="111">
        <f t="shared" si="7"/>
        <v>106.89679876369152</v>
      </c>
      <c r="S28" s="111">
        <f ca="1">'Darlehen 1'!H40+'Darlehen 2'!H40+'Darlehen 3'!H40</f>
        <v>0</v>
      </c>
      <c r="T28" s="111">
        <f ca="1">-Konten!D28</f>
        <v>0</v>
      </c>
      <c r="U28" s="168">
        <f t="shared" ca="1" si="25"/>
        <v>106.16098615150989</v>
      </c>
      <c r="V28" s="173">
        <f t="shared" si="26"/>
        <v>51502</v>
      </c>
      <c r="W28" s="111">
        <f>Eingabe!$E$56</f>
        <v>50000</v>
      </c>
      <c r="X28" s="111">
        <f t="shared" ca="1" si="0"/>
        <v>50106.16098615151</v>
      </c>
      <c r="Y28" s="111">
        <f ca="1">IF(Eingabe!$E$51="Nein",'Steuerliche Gewinnermittlung'!Z28,IF(Eingabe!$E$51="Ja",'Steuerliche Gewinnermittlung'!AA28,0))</f>
        <v>41</v>
      </c>
      <c r="Z28" s="111">
        <f t="shared" ca="1" si="8"/>
        <v>41</v>
      </c>
      <c r="AA28" s="111">
        <f t="shared" ca="1" si="9"/>
        <v>30</v>
      </c>
      <c r="AB28" s="111">
        <f ca="1">IF(Eingabe!$E$51="Nein",'Steuerliche Gewinnermittlung'!AG28-'Steuerliche Gewinnermittlung'!AD28,IF(Eingabe!$E$51="Ja",'Steuerliche Gewinnermittlung'!AL28-'Steuerliche Gewinnermittlung'!AI28,0))</f>
        <v>0</v>
      </c>
      <c r="AC28" s="111">
        <f t="shared" si="10"/>
        <v>11884</v>
      </c>
      <c r="AD28" s="111">
        <f t="shared" si="11"/>
        <v>0</v>
      </c>
      <c r="AE28" s="111">
        <f t="shared" ca="1" si="12"/>
        <v>11925</v>
      </c>
      <c r="AF28" s="111">
        <f t="shared" ca="1" si="13"/>
        <v>0</v>
      </c>
      <c r="AG28" s="111">
        <f t="shared" ca="1" si="14"/>
        <v>0</v>
      </c>
      <c r="AH28" s="111">
        <f t="shared" si="15"/>
        <v>7124</v>
      </c>
      <c r="AI28" s="111">
        <f t="shared" si="16"/>
        <v>0</v>
      </c>
      <c r="AJ28" s="111">
        <f t="shared" ca="1" si="17"/>
        <v>7154</v>
      </c>
      <c r="AK28" s="111">
        <f t="shared" ca="1" si="18"/>
        <v>0</v>
      </c>
      <c r="AL28" s="111">
        <f t="shared" ca="1" si="19"/>
        <v>0</v>
      </c>
      <c r="AM28" s="168">
        <f t="shared" ca="1" si="1"/>
        <v>41</v>
      </c>
      <c r="AN28" s="173">
        <f t="shared" si="27"/>
        <v>51502</v>
      </c>
      <c r="AO28" s="111">
        <f>IF(Eingabe!$E$71="JA",0,U28)</f>
        <v>0</v>
      </c>
      <c r="AP28" s="111">
        <f t="shared" ca="1" si="20"/>
        <v>0</v>
      </c>
      <c r="AQ28" s="111">
        <f t="shared" ca="1" si="2"/>
        <v>0</v>
      </c>
      <c r="AR28" s="111">
        <f t="shared" ca="1" si="21"/>
        <v>0</v>
      </c>
      <c r="AS28" s="111">
        <f t="shared" ca="1" si="22"/>
        <v>0</v>
      </c>
      <c r="AT28" s="111">
        <f t="shared" ca="1" si="3"/>
        <v>0</v>
      </c>
      <c r="AU28" s="111">
        <v>24500</v>
      </c>
      <c r="AV28" s="111">
        <f t="shared" ca="1" si="4"/>
        <v>0</v>
      </c>
      <c r="AW28" s="111">
        <f t="shared" ca="1" si="5"/>
        <v>0</v>
      </c>
      <c r="AX28" s="112">
        <f>Eingabe!$E$70</f>
        <v>4.4000000000000004</v>
      </c>
      <c r="AY28" s="168">
        <f t="shared" ca="1" si="23"/>
        <v>0</v>
      </c>
    </row>
    <row r="29" spans="1:51">
      <c r="A29" s="171">
        <f t="shared" si="24"/>
        <v>51867</v>
      </c>
      <c r="B29" s="110">
        <f>B28*(1-Eingabe!$E$19)</f>
        <v>8775.8524217641334</v>
      </c>
      <c r="C29" s="111">
        <f>B29*Eingabe!$E$34*D29</f>
        <v>1404.1363874822616</v>
      </c>
      <c r="D29" s="111">
        <f>Eingabe!E24</f>
        <v>0.2</v>
      </c>
      <c r="E29" s="111">
        <f>E28*(1+Eingabe!$E$30)</f>
        <v>0.38523689695849223</v>
      </c>
      <c r="F29" s="111">
        <f ca="1">(I29+J29+K29+L29+M29+S29)*Eingabe!$E$35</f>
        <v>120.30108918505073</v>
      </c>
      <c r="G29" s="111">
        <f>IF(Eingabe!$E$48="Nein",B29*Eingabe!$E$35*'Steuerliche Gewinnermittlung'!E29/1.19*19%,0)</f>
        <v>107.95774949142114</v>
      </c>
      <c r="H29" s="164">
        <f t="shared" ca="1" si="6"/>
        <v>1632.3952261587333</v>
      </c>
      <c r="I29" s="111">
        <f>I28*(1+Eingabe!$E$29)</f>
        <v>341.76445791207607</v>
      </c>
      <c r="J29" s="111">
        <f>J28*(1+Eingabe!$E$29)</f>
        <v>136.70578316483039</v>
      </c>
      <c r="K29" s="111">
        <f>K28*(1+Eingabe!$E$29)</f>
        <v>41.011734949449121</v>
      </c>
      <c r="L29" s="111">
        <f>L28*(1+Eingabe!$E$29)</f>
        <v>68.352891582415197</v>
      </c>
      <c r="M29" s="111">
        <f>M28*(1+Eingabe!$E$29)</f>
        <v>13.670578316483038</v>
      </c>
      <c r="N29" s="111">
        <f>'Absetzung für Abnutzung'!D35</f>
        <v>0</v>
      </c>
      <c r="O29" s="111">
        <f>'Absetzung für Abnutzung'!E35</f>
        <v>0</v>
      </c>
      <c r="P29" s="117"/>
      <c r="Q29" s="117"/>
      <c r="R29" s="111">
        <f t="shared" si="7"/>
        <v>107.95774949142114</v>
      </c>
      <c r="S29" s="111">
        <f ca="1">'Darlehen 1'!H41+'Darlehen 2'!H41+'Darlehen 3'!H41</f>
        <v>0</v>
      </c>
      <c r="T29" s="111">
        <f ca="1">-Konten!D29</f>
        <v>0</v>
      </c>
      <c r="U29" s="168">
        <f t="shared" ca="1" si="25"/>
        <v>922.93203074205837</v>
      </c>
      <c r="V29" s="173">
        <f t="shared" si="26"/>
        <v>51867</v>
      </c>
      <c r="W29" s="111">
        <f>Eingabe!$E$56</f>
        <v>50000</v>
      </c>
      <c r="X29" s="111">
        <f t="shared" ca="1" si="0"/>
        <v>50922.932030742057</v>
      </c>
      <c r="Y29" s="111">
        <f ca="1">IF(Eingabe!$E$51="Nein",'Steuerliche Gewinnermittlung'!Z29,IF(Eingabe!$E$51="Ja",'Steuerliche Gewinnermittlung'!AA29,0))</f>
        <v>357</v>
      </c>
      <c r="Z29" s="111">
        <f t="shared" ca="1" si="8"/>
        <v>357</v>
      </c>
      <c r="AA29" s="111">
        <f t="shared" ca="1" si="9"/>
        <v>260</v>
      </c>
      <c r="AB29" s="111">
        <f ca="1">IF(Eingabe!$E$51="Nein",'Steuerliche Gewinnermittlung'!AG29-'Steuerliche Gewinnermittlung'!AD29,IF(Eingabe!$E$51="Ja",'Steuerliche Gewinnermittlung'!AL29-'Steuerliche Gewinnermittlung'!AI29,0))</f>
        <v>0</v>
      </c>
      <c r="AC29" s="111">
        <f t="shared" si="10"/>
        <v>11884</v>
      </c>
      <c r="AD29" s="111">
        <f t="shared" si="11"/>
        <v>0</v>
      </c>
      <c r="AE29" s="111">
        <f t="shared" ca="1" si="12"/>
        <v>12241</v>
      </c>
      <c r="AF29" s="111">
        <f t="shared" ca="1" si="13"/>
        <v>0</v>
      </c>
      <c r="AG29" s="111">
        <f t="shared" ca="1" si="14"/>
        <v>0</v>
      </c>
      <c r="AH29" s="111">
        <f t="shared" si="15"/>
        <v>7124</v>
      </c>
      <c r="AI29" s="111">
        <f t="shared" si="16"/>
        <v>0</v>
      </c>
      <c r="AJ29" s="111">
        <f t="shared" ca="1" si="17"/>
        <v>7384</v>
      </c>
      <c r="AK29" s="111">
        <f t="shared" ca="1" si="18"/>
        <v>0</v>
      </c>
      <c r="AL29" s="111">
        <f t="shared" ca="1" si="19"/>
        <v>0</v>
      </c>
      <c r="AM29" s="168">
        <f t="shared" ca="1" si="1"/>
        <v>357</v>
      </c>
      <c r="AN29" s="173">
        <f t="shared" si="27"/>
        <v>51867</v>
      </c>
      <c r="AO29" s="111">
        <f>IF(Eingabe!$E$71="JA",0,U29)</f>
        <v>0</v>
      </c>
      <c r="AP29" s="111">
        <f t="shared" ca="1" si="20"/>
        <v>0</v>
      </c>
      <c r="AQ29" s="111">
        <f t="shared" ca="1" si="2"/>
        <v>0</v>
      </c>
      <c r="AR29" s="111">
        <f t="shared" ca="1" si="21"/>
        <v>0</v>
      </c>
      <c r="AS29" s="111">
        <f t="shared" ca="1" si="22"/>
        <v>0</v>
      </c>
      <c r="AT29" s="111">
        <f t="shared" ca="1" si="3"/>
        <v>0</v>
      </c>
      <c r="AU29" s="111">
        <v>24500</v>
      </c>
      <c r="AV29" s="111">
        <f t="shared" ca="1" si="4"/>
        <v>0</v>
      </c>
      <c r="AW29" s="111">
        <f t="shared" ca="1" si="5"/>
        <v>0</v>
      </c>
      <c r="AX29" s="112">
        <f>Eingabe!$E$70</f>
        <v>4.4000000000000004</v>
      </c>
      <c r="AY29" s="168">
        <f t="shared" ca="1" si="23"/>
        <v>0</v>
      </c>
    </row>
    <row r="30" spans="1:51">
      <c r="A30" s="171">
        <f t="shared" si="24"/>
        <v>52232</v>
      </c>
      <c r="B30" s="110">
        <f>B29*(1-Eingabe!$E$19)</f>
        <v>8731.973159655312</v>
      </c>
      <c r="C30" s="111">
        <f>B30*Eingabe!$E$34*D30</f>
        <v>1418.0724411280228</v>
      </c>
      <c r="D30" s="111">
        <f>D29*(1+Eingabe!$E$30)</f>
        <v>0.20299999999999999</v>
      </c>
      <c r="E30" s="111">
        <f>E29*(1+Eingabe!$E$30)</f>
        <v>0.39101545041286956</v>
      </c>
      <c r="F30" s="111">
        <f ca="1">(I30+J30+K30+L30+M30+S30)*Eingabe!$E$35</f>
        <v>122.10560552282647</v>
      </c>
      <c r="G30" s="111">
        <f>IF(Eingabe!$E$48="Nein",B30*Eingabe!$E$35*'Steuerliche Gewinnermittlung'!E30/1.19*19%,0)</f>
        <v>109.02923015512347</v>
      </c>
      <c r="H30" s="164">
        <f t="shared" ca="1" si="6"/>
        <v>1649.2072768059727</v>
      </c>
      <c r="I30" s="111">
        <f>I29*(1+Eingabe!$E$29)</f>
        <v>346.89092478075719</v>
      </c>
      <c r="J30" s="111">
        <f>J29*(1+Eingabe!$E$29)</f>
        <v>138.75636991230283</v>
      </c>
      <c r="K30" s="111">
        <f>K29*(1+Eingabe!$E$29)</f>
        <v>41.626910973690855</v>
      </c>
      <c r="L30" s="111">
        <f>L29*(1+Eingabe!$E$29)</f>
        <v>69.378184956151415</v>
      </c>
      <c r="M30" s="111">
        <f>M29*(1+Eingabe!$E$29)</f>
        <v>13.875636991230282</v>
      </c>
      <c r="N30" s="111">
        <f>'Absetzung für Abnutzung'!D36</f>
        <v>0</v>
      </c>
      <c r="O30" s="111">
        <f>'Absetzung für Abnutzung'!E36</f>
        <v>0</v>
      </c>
      <c r="P30" s="117"/>
      <c r="Q30" s="117"/>
      <c r="R30" s="111">
        <f t="shared" si="7"/>
        <v>109.02923015512347</v>
      </c>
      <c r="S30" s="111">
        <f ca="1">'Darlehen 1'!H42+'Darlehen 2'!H42+'Darlehen 3'!H42</f>
        <v>0</v>
      </c>
      <c r="T30" s="111">
        <f ca="1">-Konten!D30</f>
        <v>0</v>
      </c>
      <c r="U30" s="168">
        <f t="shared" ca="1" si="25"/>
        <v>929.65001903671646</v>
      </c>
      <c r="V30" s="173">
        <f t="shared" si="26"/>
        <v>52232</v>
      </c>
      <c r="W30" s="111">
        <f>Eingabe!$E$56</f>
        <v>50000</v>
      </c>
      <c r="X30" s="111">
        <f t="shared" ca="1" si="0"/>
        <v>50929.650019036715</v>
      </c>
      <c r="Y30" s="111">
        <f ca="1">IF(Eingabe!$E$51="Nein",'Steuerliche Gewinnermittlung'!Z30,IF(Eingabe!$E$51="Ja",'Steuerliche Gewinnermittlung'!AA30,0))</f>
        <v>359</v>
      </c>
      <c r="Z30" s="111">
        <f t="shared" ca="1" si="8"/>
        <v>359</v>
      </c>
      <c r="AA30" s="111">
        <f t="shared" ca="1" si="9"/>
        <v>262</v>
      </c>
      <c r="AB30" s="111">
        <f ca="1">IF(Eingabe!$E$51="Nein",'Steuerliche Gewinnermittlung'!AG30-'Steuerliche Gewinnermittlung'!AD30,IF(Eingabe!$E$51="Ja",'Steuerliche Gewinnermittlung'!AL30-'Steuerliche Gewinnermittlung'!AI30,0))</f>
        <v>0</v>
      </c>
      <c r="AC30" s="111">
        <f t="shared" si="10"/>
        <v>11884</v>
      </c>
      <c r="AD30" s="111">
        <f t="shared" si="11"/>
        <v>0</v>
      </c>
      <c r="AE30" s="111">
        <f t="shared" ca="1" si="12"/>
        <v>12243</v>
      </c>
      <c r="AF30" s="111">
        <f t="shared" ca="1" si="13"/>
        <v>0</v>
      </c>
      <c r="AG30" s="111">
        <f t="shared" ca="1" si="14"/>
        <v>0</v>
      </c>
      <c r="AH30" s="111">
        <f t="shared" si="15"/>
        <v>7124</v>
      </c>
      <c r="AI30" s="111">
        <f t="shared" si="16"/>
        <v>0</v>
      </c>
      <c r="AJ30" s="111">
        <f t="shared" ca="1" si="17"/>
        <v>7386</v>
      </c>
      <c r="AK30" s="111">
        <f t="shared" ca="1" si="18"/>
        <v>0</v>
      </c>
      <c r="AL30" s="111">
        <f t="shared" ca="1" si="19"/>
        <v>0</v>
      </c>
      <c r="AM30" s="168">
        <f t="shared" ca="1" si="1"/>
        <v>359</v>
      </c>
      <c r="AN30" s="173">
        <f t="shared" si="27"/>
        <v>52232</v>
      </c>
      <c r="AO30" s="111">
        <f>IF(Eingabe!$E$71="JA",0,U30)</f>
        <v>0</v>
      </c>
      <c r="AP30" s="111">
        <f t="shared" ca="1" si="20"/>
        <v>0</v>
      </c>
      <c r="AQ30" s="111">
        <f t="shared" ca="1" si="2"/>
        <v>0</v>
      </c>
      <c r="AR30" s="111">
        <f t="shared" ca="1" si="21"/>
        <v>0</v>
      </c>
      <c r="AS30" s="111">
        <f t="shared" ca="1" si="22"/>
        <v>0</v>
      </c>
      <c r="AT30" s="111">
        <f t="shared" ca="1" si="3"/>
        <v>0</v>
      </c>
      <c r="AU30" s="111">
        <v>24500</v>
      </c>
      <c r="AV30" s="111">
        <f t="shared" ca="1" si="4"/>
        <v>0</v>
      </c>
      <c r="AW30" s="111">
        <f t="shared" ca="1" si="5"/>
        <v>0</v>
      </c>
      <c r="AX30" s="112">
        <f>Eingabe!$E$70</f>
        <v>4.4000000000000004</v>
      </c>
      <c r="AY30" s="168">
        <f t="shared" ca="1" si="23"/>
        <v>0</v>
      </c>
    </row>
    <row r="31" spans="1:51">
      <c r="A31" s="171">
        <f t="shared" si="24"/>
        <v>52597</v>
      </c>
      <c r="B31" s="110">
        <f>B30*(1-Eingabe!$E$19)</f>
        <v>8688.3132938570361</v>
      </c>
      <c r="C31" s="111">
        <f>B31*Eingabe!$E$34*D31</f>
        <v>1432.1468101062183</v>
      </c>
      <c r="D31" s="111">
        <f>D30*(1+Eingabe!$E$30)</f>
        <v>0.20604499999999998</v>
      </c>
      <c r="E31" s="111">
        <f>E30*(1+Eingabe!$E$30)</f>
        <v>0.39688068216906258</v>
      </c>
      <c r="F31" s="111">
        <f ca="1">(I31+J31+K31+L31+M31+S31)*Eingabe!$E$35</f>
        <v>123.93718960566886</v>
      </c>
      <c r="G31" s="111">
        <f>IF(Eingabe!$E$48="Nein",B31*Eingabe!$E$35*'Steuerliche Gewinnermittlung'!E31/1.19*19%,0)</f>
        <v>110.11134526441309</v>
      </c>
      <c r="H31" s="164">
        <f t="shared" ca="1" si="6"/>
        <v>1666.1953449763002</v>
      </c>
      <c r="I31" s="111">
        <f>I30*(1+Eingabe!$E$29)</f>
        <v>352.09428865246849</v>
      </c>
      <c r="J31" s="111">
        <f>J30*(1+Eingabe!$E$29)</f>
        <v>140.83771546098737</v>
      </c>
      <c r="K31" s="111">
        <f>K30*(1+Eingabe!$E$29)</f>
        <v>42.251314638296215</v>
      </c>
      <c r="L31" s="111">
        <f>L30*(1+Eingabe!$E$29)</f>
        <v>70.418857730493684</v>
      </c>
      <c r="M31" s="111">
        <f>M30*(1+Eingabe!$E$29)</f>
        <v>14.083771546098735</v>
      </c>
      <c r="N31" s="111">
        <f>'Absetzung für Abnutzung'!D37</f>
        <v>0</v>
      </c>
      <c r="O31" s="111">
        <f>'Absetzung für Abnutzung'!E37</f>
        <v>0</v>
      </c>
      <c r="P31" s="117"/>
      <c r="Q31" s="117"/>
      <c r="R31" s="111">
        <f t="shared" si="7"/>
        <v>110.11134526441309</v>
      </c>
      <c r="S31" s="111">
        <f ca="1">'Darlehen 1'!H43+'Darlehen 2'!H43+'Darlehen 3'!H43</f>
        <v>0</v>
      </c>
      <c r="T31" s="111">
        <f ca="1">-Konten!D31</f>
        <v>0</v>
      </c>
      <c r="U31" s="168">
        <f t="shared" ca="1" si="25"/>
        <v>936.39805168354269</v>
      </c>
      <c r="V31" s="173">
        <f t="shared" si="26"/>
        <v>52597</v>
      </c>
      <c r="W31" s="111">
        <f>Eingabe!$E$56</f>
        <v>50000</v>
      </c>
      <c r="X31" s="111">
        <f t="shared" ca="1" si="0"/>
        <v>50936.398051683544</v>
      </c>
      <c r="Y31" s="111">
        <f ca="1">IF(Eingabe!$E$51="Nein",'Steuerliche Gewinnermittlung'!Z31,IF(Eingabe!$E$51="Ja",'Steuerliche Gewinnermittlung'!AA31,0))</f>
        <v>362</v>
      </c>
      <c r="Z31" s="111">
        <f t="shared" ca="1" si="8"/>
        <v>362</v>
      </c>
      <c r="AA31" s="111">
        <f t="shared" ca="1" si="9"/>
        <v>264</v>
      </c>
      <c r="AB31" s="111">
        <f ca="1">IF(Eingabe!$E$51="Nein",'Steuerliche Gewinnermittlung'!AG31-'Steuerliche Gewinnermittlung'!AD31,IF(Eingabe!$E$51="Ja",'Steuerliche Gewinnermittlung'!AL31-'Steuerliche Gewinnermittlung'!AI31,0))</f>
        <v>0</v>
      </c>
      <c r="AC31" s="111">
        <f t="shared" si="10"/>
        <v>11884</v>
      </c>
      <c r="AD31" s="111">
        <f t="shared" si="11"/>
        <v>0</v>
      </c>
      <c r="AE31" s="111">
        <f t="shared" ca="1" si="12"/>
        <v>12246</v>
      </c>
      <c r="AF31" s="111">
        <f t="shared" ca="1" si="13"/>
        <v>0</v>
      </c>
      <c r="AG31" s="111">
        <f t="shared" ca="1" si="14"/>
        <v>0</v>
      </c>
      <c r="AH31" s="111">
        <f t="shared" si="15"/>
        <v>7124</v>
      </c>
      <c r="AI31" s="111">
        <f t="shared" si="16"/>
        <v>0</v>
      </c>
      <c r="AJ31" s="111">
        <f t="shared" ca="1" si="17"/>
        <v>7388</v>
      </c>
      <c r="AK31" s="111">
        <f t="shared" ca="1" si="18"/>
        <v>0</v>
      </c>
      <c r="AL31" s="111">
        <f t="shared" ca="1" si="19"/>
        <v>0</v>
      </c>
      <c r="AM31" s="168">
        <f t="shared" ca="1" si="1"/>
        <v>362</v>
      </c>
      <c r="AN31" s="173">
        <f t="shared" si="27"/>
        <v>52597</v>
      </c>
      <c r="AO31" s="111">
        <f>IF(Eingabe!$E$71="JA",0,U31)</f>
        <v>0</v>
      </c>
      <c r="AP31" s="111">
        <f t="shared" ca="1" si="20"/>
        <v>0</v>
      </c>
      <c r="AQ31" s="111">
        <f t="shared" ca="1" si="2"/>
        <v>0</v>
      </c>
      <c r="AR31" s="111">
        <f t="shared" ca="1" si="21"/>
        <v>0</v>
      </c>
      <c r="AS31" s="111">
        <f t="shared" ca="1" si="22"/>
        <v>0</v>
      </c>
      <c r="AT31" s="111">
        <f t="shared" ca="1" si="3"/>
        <v>0</v>
      </c>
      <c r="AU31" s="111">
        <v>24500</v>
      </c>
      <c r="AV31" s="111">
        <f t="shared" ca="1" si="4"/>
        <v>0</v>
      </c>
      <c r="AW31" s="111">
        <f t="shared" ca="1" si="5"/>
        <v>0</v>
      </c>
      <c r="AX31" s="112">
        <f>Eingabe!$E$70</f>
        <v>4.4000000000000004</v>
      </c>
      <c r="AY31" s="168">
        <f t="shared" ca="1" si="23"/>
        <v>0</v>
      </c>
    </row>
    <row r="32" spans="1:51">
      <c r="A32" s="171">
        <f t="shared" si="24"/>
        <v>52963</v>
      </c>
      <c r="B32" s="110">
        <f>B31*(1-Eingabe!$E$19)</f>
        <v>8644.8717273877501</v>
      </c>
      <c r="C32" s="111">
        <f>B32*Eingabe!$E$34*D32</f>
        <v>1446.3608671965223</v>
      </c>
      <c r="D32" s="111">
        <f>D31*(1+Eingabe!$E$30)</f>
        <v>0.20913567499999997</v>
      </c>
      <c r="E32" s="111">
        <f>E31*(1+Eingabe!$E$30)</f>
        <v>0.4028338924015985</v>
      </c>
      <c r="F32" s="111">
        <f ca="1">(I32+J32+K32+L32+M32+S32)*Eingabe!$E$35</f>
        <v>125.79624744975389</v>
      </c>
      <c r="G32" s="111">
        <f>IF(Eingabe!$E$48="Nein",B32*Eingabe!$E$35*'Steuerliche Gewinnermittlung'!E32/1.19*19%,0)</f>
        <v>111.20420036616235</v>
      </c>
      <c r="H32" s="164">
        <f t="shared" ca="1" si="6"/>
        <v>1683.3613150124388</v>
      </c>
      <c r="I32" s="111">
        <f>I31*(1+Eingabe!$E$29)</f>
        <v>357.37570298225546</v>
      </c>
      <c r="J32" s="111">
        <f>J31*(1+Eingabe!$E$29)</f>
        <v>142.95028119290217</v>
      </c>
      <c r="K32" s="111">
        <f>K31*(1+Eingabe!$E$29)</f>
        <v>42.885084357870653</v>
      </c>
      <c r="L32" s="111">
        <f>L31*(1+Eingabe!$E$29)</f>
        <v>71.475140596451084</v>
      </c>
      <c r="M32" s="111">
        <f>M31*(1+Eingabe!$E$29)</f>
        <v>14.295028119290214</v>
      </c>
      <c r="N32" s="111">
        <f>'Absetzung für Abnutzung'!D38</f>
        <v>0</v>
      </c>
      <c r="O32" s="111">
        <f>'Absetzung für Abnutzung'!E38</f>
        <v>0</v>
      </c>
      <c r="P32" s="117"/>
      <c r="Q32" s="117"/>
      <c r="R32" s="111">
        <f t="shared" si="7"/>
        <v>111.20420036616235</v>
      </c>
      <c r="S32" s="111">
        <f ca="1">'Darlehen 1'!H44+'Darlehen 2'!H44+'Darlehen 3'!H44</f>
        <v>0</v>
      </c>
      <c r="T32" s="111">
        <f ca="1">-Konten!D32</f>
        <v>0</v>
      </c>
      <c r="U32" s="168">
        <f t="shared" ca="1" si="25"/>
        <v>943.17587739750672</v>
      </c>
      <c r="V32" s="173">
        <f t="shared" si="26"/>
        <v>52963</v>
      </c>
      <c r="W32" s="111">
        <f>Eingabe!$E$56</f>
        <v>50000</v>
      </c>
      <c r="X32" s="111">
        <f t="shared" ca="1" si="0"/>
        <v>50943.175877397509</v>
      </c>
      <c r="Y32" s="111">
        <f ca="1">IF(Eingabe!$E$51="Nein",'Steuerliche Gewinnermittlung'!Z32,IF(Eingabe!$E$51="Ja",'Steuerliche Gewinnermittlung'!AA32,0))</f>
        <v>365</v>
      </c>
      <c r="Z32" s="111">
        <f t="shared" ca="1" si="8"/>
        <v>365</v>
      </c>
      <c r="AA32" s="111">
        <f t="shared" ca="1" si="9"/>
        <v>266</v>
      </c>
      <c r="AB32" s="111">
        <f ca="1">IF(Eingabe!$E$51="Nein",'Steuerliche Gewinnermittlung'!AG32-'Steuerliche Gewinnermittlung'!AD32,IF(Eingabe!$E$51="Ja",'Steuerliche Gewinnermittlung'!AL32-'Steuerliche Gewinnermittlung'!AI32,0))</f>
        <v>0</v>
      </c>
      <c r="AC32" s="111">
        <f t="shared" si="10"/>
        <v>11884</v>
      </c>
      <c r="AD32" s="111">
        <f t="shared" si="11"/>
        <v>0</v>
      </c>
      <c r="AE32" s="111">
        <f t="shared" ca="1" si="12"/>
        <v>12249</v>
      </c>
      <c r="AF32" s="111">
        <f t="shared" ca="1" si="13"/>
        <v>0</v>
      </c>
      <c r="AG32" s="111">
        <f t="shared" ca="1" si="14"/>
        <v>0</v>
      </c>
      <c r="AH32" s="111">
        <f t="shared" si="15"/>
        <v>7124</v>
      </c>
      <c r="AI32" s="111">
        <f t="shared" si="16"/>
        <v>0</v>
      </c>
      <c r="AJ32" s="111">
        <f t="shared" ca="1" si="17"/>
        <v>7390</v>
      </c>
      <c r="AK32" s="111">
        <f t="shared" ca="1" si="18"/>
        <v>0</v>
      </c>
      <c r="AL32" s="111">
        <f t="shared" ca="1" si="19"/>
        <v>0</v>
      </c>
      <c r="AM32" s="168">
        <f t="shared" ca="1" si="1"/>
        <v>365</v>
      </c>
      <c r="AN32" s="173">
        <f t="shared" si="27"/>
        <v>52963</v>
      </c>
      <c r="AO32" s="111">
        <f>IF(Eingabe!$E$71="JA",0,U32)</f>
        <v>0</v>
      </c>
      <c r="AP32" s="111">
        <f t="shared" ca="1" si="20"/>
        <v>0</v>
      </c>
      <c r="AQ32" s="111">
        <f t="shared" ca="1" si="2"/>
        <v>0</v>
      </c>
      <c r="AR32" s="111">
        <f t="shared" ca="1" si="21"/>
        <v>0</v>
      </c>
      <c r="AS32" s="111">
        <f t="shared" ca="1" si="22"/>
        <v>0</v>
      </c>
      <c r="AT32" s="111">
        <f t="shared" ca="1" si="3"/>
        <v>0</v>
      </c>
      <c r="AU32" s="111">
        <v>24500</v>
      </c>
      <c r="AV32" s="111">
        <f t="shared" ca="1" si="4"/>
        <v>0</v>
      </c>
      <c r="AW32" s="111">
        <f t="shared" ca="1" si="5"/>
        <v>0</v>
      </c>
      <c r="AX32" s="112">
        <f>Eingabe!$E$70</f>
        <v>4.4000000000000004</v>
      </c>
      <c r="AY32" s="168">
        <f t="shared" ca="1" si="23"/>
        <v>0</v>
      </c>
    </row>
    <row r="33" spans="1:51">
      <c r="A33" s="171">
        <f t="shared" si="24"/>
        <v>53328</v>
      </c>
      <c r="B33" s="110">
        <f>B32*(1-Eingabe!$E$19)</f>
        <v>8601.6473687508114</v>
      </c>
      <c r="C33" s="111">
        <f>B33*Eingabe!$E$34*D33</f>
        <v>1460.7159988034477</v>
      </c>
      <c r="D33" s="111">
        <f>D32*(1+Eingabe!$E$30)</f>
        <v>0.21227271012499996</v>
      </c>
      <c r="E33" s="111">
        <f>E32*(1+Eingabe!$E$30)</f>
        <v>0.40887640078762244</v>
      </c>
      <c r="F33" s="111">
        <f ca="1">(I33+J33+K33+L33+M33+S33)*Eingabe!$E$35</f>
        <v>127.68319116150019</v>
      </c>
      <c r="G33" s="111">
        <f>IF(Eingabe!$E$48="Nein",B33*Eingabe!$E$35*'Steuerliche Gewinnermittlung'!E33/1.19*19%,0)</f>
        <v>112.30790205479651</v>
      </c>
      <c r="H33" s="164">
        <f t="shared" ca="1" si="6"/>
        <v>1700.7070920197446</v>
      </c>
      <c r="I33" s="111">
        <f>I32*(1+Eingabe!$E$29)</f>
        <v>362.73633852698924</v>
      </c>
      <c r="J33" s="111">
        <f>J32*(1+Eingabe!$E$29)</f>
        <v>145.09453541079569</v>
      </c>
      <c r="K33" s="111">
        <f>K32*(1+Eingabe!$E$29)</f>
        <v>43.528360623238711</v>
      </c>
      <c r="L33" s="111">
        <f>L32*(1+Eingabe!$E$29)</f>
        <v>72.547267705397843</v>
      </c>
      <c r="M33" s="111">
        <f>M32*(1+Eingabe!$E$29)</f>
        <v>14.509453541079566</v>
      </c>
      <c r="N33" s="111">
        <f>'Absetzung für Abnutzung'!D39</f>
        <v>0</v>
      </c>
      <c r="O33" s="111">
        <f>'Absetzung für Abnutzung'!E39</f>
        <v>0</v>
      </c>
      <c r="P33" s="117"/>
      <c r="Q33" s="117"/>
      <c r="R33" s="111">
        <f t="shared" si="7"/>
        <v>112.30790205479651</v>
      </c>
      <c r="S33" s="111">
        <f ca="1">'Darlehen 1'!H45+'Darlehen 2'!H45+'Darlehen 3'!H45</f>
        <v>0</v>
      </c>
      <c r="T33" s="111">
        <f ca="1">-Konten!D33</f>
        <v>0</v>
      </c>
      <c r="U33" s="168">
        <f t="shared" ca="1" si="25"/>
        <v>949.98323415744665</v>
      </c>
      <c r="V33" s="173">
        <f t="shared" si="26"/>
        <v>53328</v>
      </c>
      <c r="W33" s="111">
        <f>Eingabe!$E$56</f>
        <v>50000</v>
      </c>
      <c r="X33" s="111">
        <f t="shared" ca="1" si="0"/>
        <v>50949.983234157444</v>
      </c>
      <c r="Y33" s="111">
        <f ca="1">IF(Eingabe!$E$51="Nein",'Steuerliche Gewinnermittlung'!Z33,IF(Eingabe!$E$51="Ja",'Steuerliche Gewinnermittlung'!AA33,0))</f>
        <v>367</v>
      </c>
      <c r="Z33" s="111">
        <f t="shared" ca="1" si="8"/>
        <v>367</v>
      </c>
      <c r="AA33" s="111">
        <f t="shared" ca="1" si="9"/>
        <v>268</v>
      </c>
      <c r="AB33" s="111">
        <f ca="1">IF(Eingabe!$E$51="Nein",'Steuerliche Gewinnermittlung'!AG33-'Steuerliche Gewinnermittlung'!AD33,IF(Eingabe!$E$51="Ja",'Steuerliche Gewinnermittlung'!AL33-'Steuerliche Gewinnermittlung'!AI33,0))</f>
        <v>0</v>
      </c>
      <c r="AC33" s="111">
        <f t="shared" si="10"/>
        <v>11884</v>
      </c>
      <c r="AD33" s="111">
        <f t="shared" si="11"/>
        <v>0</v>
      </c>
      <c r="AE33" s="111">
        <f t="shared" ca="1" si="12"/>
        <v>12251</v>
      </c>
      <c r="AF33" s="111">
        <f t="shared" ca="1" si="13"/>
        <v>0</v>
      </c>
      <c r="AG33" s="111">
        <f t="shared" ca="1" si="14"/>
        <v>0</v>
      </c>
      <c r="AH33" s="111">
        <f t="shared" si="15"/>
        <v>7124</v>
      </c>
      <c r="AI33" s="111">
        <f t="shared" si="16"/>
        <v>0</v>
      </c>
      <c r="AJ33" s="111">
        <f t="shared" ca="1" si="17"/>
        <v>7392</v>
      </c>
      <c r="AK33" s="111">
        <f t="shared" ca="1" si="18"/>
        <v>0</v>
      </c>
      <c r="AL33" s="111">
        <f t="shared" ca="1" si="19"/>
        <v>0</v>
      </c>
      <c r="AM33" s="168">
        <f t="shared" ca="1" si="1"/>
        <v>367</v>
      </c>
      <c r="AN33" s="173">
        <f t="shared" si="27"/>
        <v>53328</v>
      </c>
      <c r="AO33" s="111">
        <f>IF(Eingabe!$E$71="JA",0,U33)</f>
        <v>0</v>
      </c>
      <c r="AP33" s="111">
        <f t="shared" ca="1" si="20"/>
        <v>0</v>
      </c>
      <c r="AQ33" s="111">
        <f t="shared" ca="1" si="2"/>
        <v>0</v>
      </c>
      <c r="AR33" s="111">
        <f t="shared" ca="1" si="21"/>
        <v>0</v>
      </c>
      <c r="AS33" s="111">
        <f t="shared" ca="1" si="22"/>
        <v>0</v>
      </c>
      <c r="AT33" s="111">
        <f t="shared" ca="1" si="3"/>
        <v>0</v>
      </c>
      <c r="AU33" s="111">
        <v>24500</v>
      </c>
      <c r="AV33" s="111">
        <f t="shared" ca="1" si="4"/>
        <v>0</v>
      </c>
      <c r="AW33" s="111">
        <f t="shared" ca="1" si="5"/>
        <v>0</v>
      </c>
      <c r="AX33" s="112">
        <f>Eingabe!$E$70</f>
        <v>4.4000000000000004</v>
      </c>
      <c r="AY33" s="168">
        <f t="shared" ca="1" si="23"/>
        <v>0</v>
      </c>
    </row>
    <row r="34" spans="1:51">
      <c r="A34" s="171">
        <f t="shared" si="24"/>
        <v>53693</v>
      </c>
      <c r="B34" s="110">
        <f>B33*(1-Eingabe!$E$19)</f>
        <v>8558.6391319070572</v>
      </c>
      <c r="C34" s="111">
        <f>B34*Eingabe!$E$34*D34</f>
        <v>1475.2136050915717</v>
      </c>
      <c r="D34" s="111">
        <f>D33*(1+Eingabe!$E$30)</f>
        <v>0.21545680077687493</v>
      </c>
      <c r="E34" s="111">
        <f>E33*(1+Eingabe!$E$30)</f>
        <v>0.41500954679943675</v>
      </c>
      <c r="F34" s="111">
        <f ca="1">(I34+J34+K34+L34+M34+S34)*Eingabe!$E$35</f>
        <v>129.59843902892266</v>
      </c>
      <c r="G34" s="111">
        <f>IF(Eingabe!$E$48="Nein",B34*Eingabe!$E$35*'Steuerliche Gewinnermittlung'!E34/1.19*19%,0)</f>
        <v>113.42255798269035</v>
      </c>
      <c r="H34" s="164">
        <f t="shared" ca="1" si="6"/>
        <v>1718.2346021031847</v>
      </c>
      <c r="I34" s="111">
        <f>I33*(1+Eingabe!$E$29)</f>
        <v>368.17738360489403</v>
      </c>
      <c r="J34" s="111">
        <f>J33*(1+Eingabe!$E$29)</f>
        <v>147.2709534419576</v>
      </c>
      <c r="K34" s="111">
        <f>K33*(1+Eingabe!$E$29)</f>
        <v>44.181286032587288</v>
      </c>
      <c r="L34" s="111">
        <f>L33*(1+Eingabe!$E$29)</f>
        <v>73.635476720978801</v>
      </c>
      <c r="M34" s="111">
        <f>M33*(1+Eingabe!$E$29)</f>
        <v>14.727095344195758</v>
      </c>
      <c r="N34" s="111">
        <f>'Absetzung für Abnutzung'!D40</f>
        <v>0</v>
      </c>
      <c r="O34" s="111">
        <f>'Absetzung für Abnutzung'!E40</f>
        <v>0</v>
      </c>
      <c r="P34" s="117"/>
      <c r="Q34" s="117"/>
      <c r="R34" s="111">
        <f t="shared" si="7"/>
        <v>113.42255798269035</v>
      </c>
      <c r="S34" s="111">
        <f ca="1">'Darlehen 1'!H46+'Darlehen 2'!H46+'Darlehen 3'!H46</f>
        <v>0</v>
      </c>
      <c r="T34" s="111">
        <f ca="1">-Konten!D34</f>
        <v>0</v>
      </c>
      <c r="U34" s="168">
        <f t="shared" ca="1" si="25"/>
        <v>956.81984897588097</v>
      </c>
      <c r="V34" s="173">
        <f t="shared" si="26"/>
        <v>53693</v>
      </c>
      <c r="W34" s="111">
        <f>Eingabe!$E$56</f>
        <v>50000</v>
      </c>
      <c r="X34" s="111">
        <f t="shared" ca="1" si="0"/>
        <v>50956.81984897588</v>
      </c>
      <c r="Y34" s="111">
        <f ca="1">IF(Eingabe!$E$51="Nein",'Steuerliche Gewinnermittlung'!Z34,IF(Eingabe!$E$51="Ja",'Steuerliche Gewinnermittlung'!AA34,0))</f>
        <v>370</v>
      </c>
      <c r="Z34" s="111">
        <f t="shared" ca="1" si="8"/>
        <v>370</v>
      </c>
      <c r="AA34" s="111">
        <f t="shared" ca="1" si="9"/>
        <v>270</v>
      </c>
      <c r="AB34" s="111">
        <f ca="1">IF(Eingabe!$E$51="Nein",'Steuerliche Gewinnermittlung'!AG34-'Steuerliche Gewinnermittlung'!AD34,IF(Eingabe!$E$51="Ja",'Steuerliche Gewinnermittlung'!AL34-'Steuerliche Gewinnermittlung'!AI34,0))</f>
        <v>0</v>
      </c>
      <c r="AC34" s="111">
        <f t="shared" si="10"/>
        <v>11884</v>
      </c>
      <c r="AD34" s="111">
        <f t="shared" si="11"/>
        <v>0</v>
      </c>
      <c r="AE34" s="111">
        <f t="shared" ca="1" si="12"/>
        <v>12254</v>
      </c>
      <c r="AF34" s="111">
        <f t="shared" ca="1" si="13"/>
        <v>0</v>
      </c>
      <c r="AG34" s="111">
        <f t="shared" ca="1" si="14"/>
        <v>0</v>
      </c>
      <c r="AH34" s="111">
        <f t="shared" si="15"/>
        <v>7124</v>
      </c>
      <c r="AI34" s="111">
        <f t="shared" si="16"/>
        <v>0</v>
      </c>
      <c r="AJ34" s="111">
        <f t="shared" ca="1" si="17"/>
        <v>7394</v>
      </c>
      <c r="AK34" s="111">
        <f t="shared" ca="1" si="18"/>
        <v>0</v>
      </c>
      <c r="AL34" s="111">
        <f t="shared" ca="1" si="19"/>
        <v>0</v>
      </c>
      <c r="AM34" s="168">
        <f t="shared" ca="1" si="1"/>
        <v>370</v>
      </c>
      <c r="AN34" s="173">
        <f t="shared" si="27"/>
        <v>53693</v>
      </c>
      <c r="AO34" s="111">
        <f>IF(Eingabe!$E$71="JA",0,U34)</f>
        <v>0</v>
      </c>
      <c r="AP34" s="111">
        <f t="shared" ca="1" si="20"/>
        <v>0</v>
      </c>
      <c r="AQ34" s="111">
        <f t="shared" ca="1" si="2"/>
        <v>0</v>
      </c>
      <c r="AR34" s="111">
        <f t="shared" ca="1" si="21"/>
        <v>0</v>
      </c>
      <c r="AS34" s="111">
        <f t="shared" ca="1" si="22"/>
        <v>0</v>
      </c>
      <c r="AT34" s="111">
        <f t="shared" ca="1" si="3"/>
        <v>0</v>
      </c>
      <c r="AU34" s="111">
        <v>24500</v>
      </c>
      <c r="AV34" s="111">
        <f t="shared" ca="1" si="4"/>
        <v>0</v>
      </c>
      <c r="AW34" s="111">
        <f t="shared" ca="1" si="5"/>
        <v>0</v>
      </c>
      <c r="AX34" s="112">
        <f>Eingabe!$E$70</f>
        <v>4.4000000000000004</v>
      </c>
      <c r="AY34" s="168">
        <f t="shared" ca="1" si="23"/>
        <v>0</v>
      </c>
    </row>
    <row r="35" spans="1:51">
      <c r="A35" s="171">
        <f t="shared" si="24"/>
        <v>54058</v>
      </c>
      <c r="B35" s="110">
        <f>B34*(1-Eingabe!$E$19)</f>
        <v>8515.8459362475223</v>
      </c>
      <c r="C35" s="111">
        <f>B35*Eingabe!$E$34*D35</f>
        <v>1489.8551001221056</v>
      </c>
      <c r="D35" s="111">
        <f>D34*(1+Eingabe!$E$30)</f>
        <v>0.21868865278852803</v>
      </c>
      <c r="E35" s="111">
        <f>E34*(1+Eingabe!$E$30)</f>
        <v>0.42123469000142827</v>
      </c>
      <c r="F35" s="111">
        <f ca="1">(I35+J35+K35+L35+M35+S35)*Eingabe!$E$35</f>
        <v>131.54241561435651</v>
      </c>
      <c r="G35" s="111">
        <f>IF(Eingabe!$E$48="Nein",B35*Eingabe!$E$35*'Steuerliche Gewinnermittlung'!E35/1.19*19%,0)</f>
        <v>114.54827687066857</v>
      </c>
      <c r="H35" s="164">
        <f t="shared" ca="1" si="6"/>
        <v>1735.9457926071307</v>
      </c>
      <c r="I35" s="111">
        <f>I34*(1+Eingabe!$E$29)</f>
        <v>373.70004435896743</v>
      </c>
      <c r="J35" s="111">
        <f>J34*(1+Eingabe!$E$29)</f>
        <v>149.48001774358696</v>
      </c>
      <c r="K35" s="111">
        <f>K34*(1+Eingabe!$E$29)</f>
        <v>44.84400532307609</v>
      </c>
      <c r="L35" s="111">
        <f>L34*(1+Eingabe!$E$29)</f>
        <v>74.740008871793478</v>
      </c>
      <c r="M35" s="111">
        <f>M34*(1+Eingabe!$E$29)</f>
        <v>14.948001774358694</v>
      </c>
      <c r="N35" s="111">
        <f>'Absetzung für Abnutzung'!D41</f>
        <v>0</v>
      </c>
      <c r="O35" s="111">
        <f>'Absetzung für Abnutzung'!E41</f>
        <v>0</v>
      </c>
      <c r="P35" s="117"/>
      <c r="Q35" s="117"/>
      <c r="R35" s="111">
        <f t="shared" si="7"/>
        <v>114.54827687066857</v>
      </c>
      <c r="S35" s="111">
        <f ca="1">'Darlehen 1'!H47+'Darlehen 2'!H47+'Darlehen 3'!H47</f>
        <v>0</v>
      </c>
      <c r="T35" s="111">
        <f ca="1">-Konten!D35</f>
        <v>0</v>
      </c>
      <c r="U35" s="168">
        <f t="shared" ca="1" si="25"/>
        <v>963.68543766467928</v>
      </c>
      <c r="V35" s="173">
        <f t="shared" si="26"/>
        <v>54058</v>
      </c>
      <c r="W35" s="111">
        <f>Eingabe!$E$56</f>
        <v>50000</v>
      </c>
      <c r="X35" s="111">
        <f t="shared" ca="1" si="0"/>
        <v>50963.685437664681</v>
      </c>
      <c r="Y35" s="111">
        <f ca="1">IF(Eingabe!$E$51="Nein",'Steuerliche Gewinnermittlung'!Z35,IF(Eingabe!$E$51="Ja",'Steuerliche Gewinnermittlung'!AA35,0))</f>
        <v>373</v>
      </c>
      <c r="Z35" s="111">
        <f t="shared" ca="1" si="8"/>
        <v>373</v>
      </c>
      <c r="AA35" s="111">
        <f t="shared" ca="1" si="9"/>
        <v>272</v>
      </c>
      <c r="AB35" s="111">
        <f ca="1">IF(Eingabe!$E$51="Nein",'Steuerliche Gewinnermittlung'!AG35-'Steuerliche Gewinnermittlung'!AD35,IF(Eingabe!$E$51="Ja",'Steuerliche Gewinnermittlung'!AL35-'Steuerliche Gewinnermittlung'!AI35,0))</f>
        <v>0</v>
      </c>
      <c r="AC35" s="111">
        <f t="shared" si="10"/>
        <v>11884</v>
      </c>
      <c r="AD35" s="111">
        <f t="shared" si="11"/>
        <v>0</v>
      </c>
      <c r="AE35" s="111">
        <f t="shared" ca="1" si="12"/>
        <v>12257</v>
      </c>
      <c r="AF35" s="111">
        <f t="shared" ca="1" si="13"/>
        <v>0</v>
      </c>
      <c r="AG35" s="111">
        <f t="shared" ca="1" si="14"/>
        <v>0</v>
      </c>
      <c r="AH35" s="111">
        <f t="shared" si="15"/>
        <v>7124</v>
      </c>
      <c r="AI35" s="111">
        <f t="shared" si="16"/>
        <v>0</v>
      </c>
      <c r="AJ35" s="111">
        <f t="shared" ca="1" si="17"/>
        <v>7396</v>
      </c>
      <c r="AK35" s="111">
        <f t="shared" ca="1" si="18"/>
        <v>0</v>
      </c>
      <c r="AL35" s="111">
        <f t="shared" ca="1" si="19"/>
        <v>0</v>
      </c>
      <c r="AM35" s="168">
        <f t="shared" ca="1" si="1"/>
        <v>373</v>
      </c>
      <c r="AN35" s="173">
        <f t="shared" si="27"/>
        <v>54058</v>
      </c>
      <c r="AO35" s="111">
        <f>IF(Eingabe!$E$71="JA",0,U35)</f>
        <v>0</v>
      </c>
      <c r="AP35" s="111">
        <f t="shared" ca="1" si="20"/>
        <v>0</v>
      </c>
      <c r="AQ35" s="111">
        <f t="shared" ca="1" si="2"/>
        <v>0</v>
      </c>
      <c r="AR35" s="111">
        <f t="shared" ca="1" si="21"/>
        <v>0</v>
      </c>
      <c r="AS35" s="111">
        <f t="shared" ca="1" si="22"/>
        <v>0</v>
      </c>
      <c r="AT35" s="111">
        <f t="shared" ca="1" si="3"/>
        <v>0</v>
      </c>
      <c r="AU35" s="111">
        <v>24500</v>
      </c>
      <c r="AV35" s="111">
        <f t="shared" ca="1" si="4"/>
        <v>0</v>
      </c>
      <c r="AW35" s="111">
        <f t="shared" ca="1" si="5"/>
        <v>0</v>
      </c>
      <c r="AX35" s="112">
        <f>Eingabe!$E$70</f>
        <v>4.4000000000000004</v>
      </c>
      <c r="AY35" s="168">
        <f t="shared" ca="1" si="23"/>
        <v>0</v>
      </c>
    </row>
    <row r="36" spans="1:51">
      <c r="A36" s="171">
        <f t="shared" si="24"/>
        <v>54424</v>
      </c>
      <c r="B36" s="110">
        <f>B35*(1-Eingabe!$E$19)</f>
        <v>8473.2667065662845</v>
      </c>
      <c r="C36" s="111">
        <f>B36*Eingabe!$E$34*D36</f>
        <v>1504.6419119908173</v>
      </c>
      <c r="D36" s="111">
        <f>D35*(1+Eingabe!$E$30)</f>
        <v>0.22196898258035594</v>
      </c>
      <c r="E36" s="111">
        <f>E35*(1+Eingabe!$E$30)</f>
        <v>0.42755321035144966</v>
      </c>
      <c r="F36" s="111">
        <f ca="1">(I36+J36+K36+L36+M36+S36)*Eingabe!$E$35</f>
        <v>133.51555184857185</v>
      </c>
      <c r="G36" s="111">
        <f>IF(Eingabe!$E$48="Nein",B36*Eingabe!$E$35*'Steuerliche Gewinnermittlung'!E36/1.19*19%,0)</f>
        <v>115.68516851860996</v>
      </c>
      <c r="H36" s="164">
        <f t="shared" ca="1" si="6"/>
        <v>1753.8426323579993</v>
      </c>
      <c r="I36" s="111">
        <f>I35*(1+Eingabe!$E$29)</f>
        <v>379.30554502435189</v>
      </c>
      <c r="J36" s="111">
        <f>J35*(1+Eingabe!$E$29)</f>
        <v>151.72221800974074</v>
      </c>
      <c r="K36" s="111">
        <f>K35*(1+Eingabe!$E$29)</f>
        <v>45.516665402922229</v>
      </c>
      <c r="L36" s="111">
        <f>L35*(1+Eingabe!$E$29)</f>
        <v>75.861109004870372</v>
      </c>
      <c r="M36" s="111">
        <f>M35*(1+Eingabe!$E$29)</f>
        <v>15.172221800974073</v>
      </c>
      <c r="N36" s="111">
        <f>'Absetzung für Abnutzung'!D42</f>
        <v>0</v>
      </c>
      <c r="O36" s="111">
        <f>'Absetzung für Abnutzung'!E42</f>
        <v>0</v>
      </c>
      <c r="P36" s="117"/>
      <c r="Q36" s="117"/>
      <c r="R36" s="111">
        <f t="shared" si="7"/>
        <v>115.68516851860996</v>
      </c>
      <c r="S36" s="111">
        <f ca="1">'Darlehen 1'!H48+'Darlehen 2'!H48+'Darlehen 3'!H48</f>
        <v>0</v>
      </c>
      <c r="T36" s="111">
        <f ca="1">-Konten!D36</f>
        <v>0</v>
      </c>
      <c r="U36" s="168">
        <f t="shared" ca="1" si="25"/>
        <v>970.57970459653006</v>
      </c>
      <c r="V36" s="173">
        <f t="shared" si="26"/>
        <v>54424</v>
      </c>
      <c r="W36" s="111">
        <f>Eingabe!$E$56</f>
        <v>50000</v>
      </c>
      <c r="X36" s="111">
        <f t="shared" ca="1" si="0"/>
        <v>50970.57970459653</v>
      </c>
      <c r="Y36" s="111">
        <f ca="1">IF(Eingabe!$E$51="Nein",'Steuerliche Gewinnermittlung'!Z36,IF(Eingabe!$E$51="Ja",'Steuerliche Gewinnermittlung'!AA36,0))</f>
        <v>375</v>
      </c>
      <c r="Z36" s="111">
        <f t="shared" ca="1" si="8"/>
        <v>375</v>
      </c>
      <c r="AA36" s="111">
        <f t="shared" ca="1" si="9"/>
        <v>274</v>
      </c>
      <c r="AB36" s="111">
        <f ca="1">IF(Eingabe!$E$51="Nein",'Steuerliche Gewinnermittlung'!AG36-'Steuerliche Gewinnermittlung'!AD36,IF(Eingabe!$E$51="Ja",'Steuerliche Gewinnermittlung'!AL36-'Steuerliche Gewinnermittlung'!AI36,0))</f>
        <v>0</v>
      </c>
      <c r="AC36" s="111">
        <f t="shared" si="10"/>
        <v>11884</v>
      </c>
      <c r="AD36" s="111">
        <f t="shared" si="11"/>
        <v>0</v>
      </c>
      <c r="AE36" s="111">
        <f t="shared" ca="1" si="12"/>
        <v>12259</v>
      </c>
      <c r="AF36" s="111">
        <f t="shared" ca="1" si="13"/>
        <v>0</v>
      </c>
      <c r="AG36" s="111">
        <f t="shared" ca="1" si="14"/>
        <v>0</v>
      </c>
      <c r="AH36" s="111">
        <f t="shared" si="15"/>
        <v>7124</v>
      </c>
      <c r="AI36" s="111">
        <f t="shared" si="16"/>
        <v>0</v>
      </c>
      <c r="AJ36" s="111">
        <f t="shared" ca="1" si="17"/>
        <v>7398</v>
      </c>
      <c r="AK36" s="111">
        <f t="shared" ca="1" si="18"/>
        <v>0</v>
      </c>
      <c r="AL36" s="111">
        <f t="shared" ca="1" si="19"/>
        <v>0</v>
      </c>
      <c r="AM36" s="168">
        <f t="shared" ca="1" si="1"/>
        <v>375</v>
      </c>
      <c r="AN36" s="173">
        <f t="shared" si="27"/>
        <v>54424</v>
      </c>
      <c r="AO36" s="111">
        <f>IF(Eingabe!$E$71="JA",0,U36)</f>
        <v>0</v>
      </c>
      <c r="AP36" s="111">
        <f t="shared" ca="1" si="20"/>
        <v>0</v>
      </c>
      <c r="AQ36" s="111">
        <f t="shared" ca="1" si="2"/>
        <v>0</v>
      </c>
      <c r="AR36" s="111">
        <f t="shared" ca="1" si="21"/>
        <v>0</v>
      </c>
      <c r="AS36" s="111">
        <f t="shared" ca="1" si="22"/>
        <v>0</v>
      </c>
      <c r="AT36" s="111">
        <f t="shared" ca="1" si="3"/>
        <v>0</v>
      </c>
      <c r="AU36" s="111">
        <v>24500</v>
      </c>
      <c r="AV36" s="111">
        <f t="shared" ca="1" si="4"/>
        <v>0</v>
      </c>
      <c r="AW36" s="111">
        <f t="shared" ca="1" si="5"/>
        <v>0</v>
      </c>
      <c r="AX36" s="112">
        <f>Eingabe!$E$70</f>
        <v>4.4000000000000004</v>
      </c>
      <c r="AY36" s="168">
        <f t="shared" ca="1" si="23"/>
        <v>0</v>
      </c>
    </row>
    <row r="37" spans="1:51">
      <c r="A37" s="171">
        <f t="shared" si="24"/>
        <v>54789</v>
      </c>
      <c r="B37" s="110">
        <f>B36*(1-Eingabe!$E$19)</f>
        <v>8430.9003730334534</v>
      </c>
      <c r="C37" s="111">
        <f>B37*Eingabe!$E$34*D37</f>
        <v>1519.575482967326</v>
      </c>
      <c r="D37" s="111">
        <f>D36*(1+Eingabe!$E$30)</f>
        <v>0.22529851731906125</v>
      </c>
      <c r="E37" s="111">
        <f>E36*(1+Eingabe!$E$30)</f>
        <v>0.43396650850672136</v>
      </c>
      <c r="F37" s="111">
        <f ca="1">(I37+J37+K37+L37+M37+S37)*Eingabe!$E$35</f>
        <v>135.51828512630038</v>
      </c>
      <c r="G37" s="111">
        <f>IF(Eingabe!$E$48="Nein",B37*Eingabe!$E$35*'Steuerliche Gewinnermittlung'!E37/1.19*19%,0)</f>
        <v>116.83334381615713</v>
      </c>
      <c r="H37" s="164">
        <f t="shared" ca="1" si="6"/>
        <v>1771.9271119097834</v>
      </c>
      <c r="I37" s="111">
        <f>I36*(1+Eingabe!$E$29)</f>
        <v>384.9951281997171</v>
      </c>
      <c r="J37" s="111">
        <f>J36*(1+Eingabe!$E$29)</f>
        <v>153.99805127988685</v>
      </c>
      <c r="K37" s="111">
        <f>K36*(1+Eingabe!$E$29)</f>
        <v>46.199415383966056</v>
      </c>
      <c r="L37" s="111">
        <f>L36*(1+Eingabe!$E$29)</f>
        <v>76.999025639943426</v>
      </c>
      <c r="M37" s="111">
        <f>M36*(1+Eingabe!$E$29)</f>
        <v>15.399805127988683</v>
      </c>
      <c r="N37" s="111">
        <f>'Absetzung für Abnutzung'!D43</f>
        <v>0</v>
      </c>
      <c r="O37" s="111">
        <f>'Absetzung für Abnutzung'!E43</f>
        <v>0</v>
      </c>
      <c r="P37" s="117"/>
      <c r="Q37" s="117"/>
      <c r="R37" s="111">
        <f t="shared" si="7"/>
        <v>116.83334381615713</v>
      </c>
      <c r="S37" s="111">
        <f ca="1">'Darlehen 1'!H49+'Darlehen 2'!H49+'Darlehen 3'!H49</f>
        <v>0</v>
      </c>
      <c r="T37" s="111">
        <f ca="1">-Konten!D37</f>
        <v>0</v>
      </c>
      <c r="U37" s="168">
        <f t="shared" ca="1" si="25"/>
        <v>977.50234246212426</v>
      </c>
      <c r="V37" s="173">
        <f t="shared" si="26"/>
        <v>54789</v>
      </c>
      <c r="W37" s="111">
        <f>Eingabe!$E$56</f>
        <v>50000</v>
      </c>
      <c r="X37" s="111">
        <f t="shared" ca="1" si="0"/>
        <v>50977.502342462125</v>
      </c>
      <c r="Y37" s="111">
        <f ca="1">IF(Eingabe!$E$51="Nein",'Steuerliche Gewinnermittlung'!Z37,IF(Eingabe!$E$51="Ja",'Steuerliche Gewinnermittlung'!AA37,0))</f>
        <v>378</v>
      </c>
      <c r="Z37" s="111">
        <f t="shared" ca="1" si="8"/>
        <v>378</v>
      </c>
      <c r="AA37" s="111">
        <f t="shared" ca="1" si="9"/>
        <v>276</v>
      </c>
      <c r="AB37" s="111">
        <f ca="1">IF(Eingabe!$E$51="Nein",'Steuerliche Gewinnermittlung'!AG37-'Steuerliche Gewinnermittlung'!AD37,IF(Eingabe!$E$51="Ja",'Steuerliche Gewinnermittlung'!AL37-'Steuerliche Gewinnermittlung'!AI37,0))</f>
        <v>0</v>
      </c>
      <c r="AC37" s="111">
        <f t="shared" si="10"/>
        <v>11884</v>
      </c>
      <c r="AD37" s="111">
        <f t="shared" si="11"/>
        <v>0</v>
      </c>
      <c r="AE37" s="111">
        <f t="shared" ca="1" si="12"/>
        <v>12262</v>
      </c>
      <c r="AF37" s="111">
        <f t="shared" ca="1" si="13"/>
        <v>0</v>
      </c>
      <c r="AG37" s="111">
        <f t="shared" ca="1" si="14"/>
        <v>0</v>
      </c>
      <c r="AH37" s="111">
        <f t="shared" si="15"/>
        <v>7124</v>
      </c>
      <c r="AI37" s="111">
        <f t="shared" si="16"/>
        <v>0</v>
      </c>
      <c r="AJ37" s="111">
        <f t="shared" ca="1" si="17"/>
        <v>7400</v>
      </c>
      <c r="AK37" s="111">
        <f t="shared" ca="1" si="18"/>
        <v>0</v>
      </c>
      <c r="AL37" s="111">
        <f t="shared" ca="1" si="19"/>
        <v>0</v>
      </c>
      <c r="AM37" s="168">
        <f t="shared" ca="1" si="1"/>
        <v>378</v>
      </c>
      <c r="AN37" s="173">
        <f t="shared" si="27"/>
        <v>54789</v>
      </c>
      <c r="AO37" s="111">
        <f>IF(Eingabe!$E$71="JA",0,U37)</f>
        <v>0</v>
      </c>
      <c r="AP37" s="111">
        <f t="shared" ca="1" si="20"/>
        <v>0</v>
      </c>
      <c r="AQ37" s="111">
        <f t="shared" ca="1" si="2"/>
        <v>0</v>
      </c>
      <c r="AR37" s="111">
        <f t="shared" ca="1" si="21"/>
        <v>0</v>
      </c>
      <c r="AS37" s="111">
        <f t="shared" ca="1" si="22"/>
        <v>0</v>
      </c>
      <c r="AT37" s="111">
        <f t="shared" ca="1" si="3"/>
        <v>0</v>
      </c>
      <c r="AU37" s="111">
        <v>24500</v>
      </c>
      <c r="AV37" s="111">
        <f t="shared" ca="1" si="4"/>
        <v>0</v>
      </c>
      <c r="AW37" s="111">
        <f t="shared" ca="1" si="5"/>
        <v>0</v>
      </c>
      <c r="AX37" s="112">
        <f>Eingabe!$E$70</f>
        <v>4.4000000000000004</v>
      </c>
      <c r="AY37" s="168">
        <f t="shared" ca="1" si="23"/>
        <v>0</v>
      </c>
    </row>
    <row r="38" spans="1:51">
      <c r="A38" s="171">
        <f t="shared" si="24"/>
        <v>55154</v>
      </c>
      <c r="B38" s="110">
        <f>B37*(1-Eingabe!$E$19)</f>
        <v>8388.7458711682866</v>
      </c>
      <c r="C38" s="111">
        <f>B38*Eingabe!$E$34*D38</f>
        <v>1534.6572696357766</v>
      </c>
      <c r="D38" s="111">
        <f>D37*(1+Eingabe!$E$30)</f>
        <v>0.22867799507884715</v>
      </c>
      <c r="E38" s="111">
        <f>E37*(1+Eingabe!$E$30)</f>
        <v>0.44047600613432214</v>
      </c>
      <c r="F38" s="111">
        <f>(I38+J38+K38+L38+M38+S38)*Eingabe!$E$35</f>
        <v>137.5510594031949</v>
      </c>
      <c r="G38" s="111">
        <f>IF(Eingabe!$E$48="Nein",B38*Eingabe!$E$35*'Steuerliche Gewinnermittlung'!E38/1.19*19%,0)</f>
        <v>117.99291475353249</v>
      </c>
      <c r="H38" s="164">
        <f t="shared" si="6"/>
        <v>1790.2012437925039</v>
      </c>
      <c r="I38" s="111">
        <f>I37*(1+Eingabe!$E$29)</f>
        <v>390.77005512271285</v>
      </c>
      <c r="J38" s="111">
        <f>J37*(1+Eingabe!$E$29)</f>
        <v>156.30802204908514</v>
      </c>
      <c r="K38" s="111">
        <f>K37*(1+Eingabe!$E$29)</f>
        <v>46.892406614725545</v>
      </c>
      <c r="L38" s="111">
        <f>L37*(1+Eingabe!$E$29)</f>
        <v>78.154011024542569</v>
      </c>
      <c r="M38" s="111">
        <f>M37*(1+Eingabe!$E$29)</f>
        <v>15.630802204908512</v>
      </c>
      <c r="N38" s="111">
        <f>'Absetzung für Abnutzung'!D44</f>
        <v>0</v>
      </c>
      <c r="O38" s="111">
        <f>'Absetzung für Abnutzung'!E44</f>
        <v>0</v>
      </c>
      <c r="P38" s="117"/>
      <c r="Q38" s="117"/>
      <c r="R38" s="111">
        <f t="shared" si="7"/>
        <v>117.99291475353249</v>
      </c>
      <c r="S38" s="111">
        <f>'Darlehen 1'!H50+'Darlehen 2'!H50+'Darlehen 3'!H50</f>
        <v>0</v>
      </c>
      <c r="T38" s="111">
        <f ca="1">-Konten!D38</f>
        <v>0</v>
      </c>
      <c r="U38" s="168">
        <f t="shared" ca="1" si="25"/>
        <v>984.45303202299669</v>
      </c>
      <c r="V38" s="173">
        <f t="shared" si="26"/>
        <v>55154</v>
      </c>
      <c r="W38" s="111">
        <f>Eingabe!$E$56</f>
        <v>50000</v>
      </c>
      <c r="X38" s="111">
        <f t="shared" ca="1" si="0"/>
        <v>50984.453032022997</v>
      </c>
      <c r="Y38" s="111">
        <f ca="1">IF(Eingabe!$E$51="Nein",'Steuerliche Gewinnermittlung'!Z38,IF(Eingabe!$E$51="Ja",'Steuerliche Gewinnermittlung'!AA38,0))</f>
        <v>381</v>
      </c>
      <c r="Z38" s="111">
        <f t="shared" ca="1" si="8"/>
        <v>381</v>
      </c>
      <c r="AA38" s="111">
        <f t="shared" ca="1" si="9"/>
        <v>278</v>
      </c>
      <c r="AB38" s="111">
        <f ca="1">IF(Eingabe!$E$51="Nein",'Steuerliche Gewinnermittlung'!AG38-'Steuerliche Gewinnermittlung'!AD38,IF(Eingabe!$E$51="Ja",'Steuerliche Gewinnermittlung'!AL38-'Steuerliche Gewinnermittlung'!AI38,0))</f>
        <v>0</v>
      </c>
      <c r="AC38" s="111">
        <f t="shared" si="10"/>
        <v>11884</v>
      </c>
      <c r="AD38" s="111">
        <f t="shared" si="11"/>
        <v>0</v>
      </c>
      <c r="AE38" s="111">
        <f t="shared" ca="1" si="12"/>
        <v>12265</v>
      </c>
      <c r="AF38" s="111">
        <f t="shared" ca="1" si="13"/>
        <v>0</v>
      </c>
      <c r="AG38" s="111">
        <f t="shared" ca="1" si="14"/>
        <v>0</v>
      </c>
      <c r="AH38" s="111">
        <f t="shared" si="15"/>
        <v>7124</v>
      </c>
      <c r="AI38" s="111">
        <f t="shared" si="16"/>
        <v>0</v>
      </c>
      <c r="AJ38" s="111">
        <f t="shared" ca="1" si="17"/>
        <v>7402</v>
      </c>
      <c r="AK38" s="111">
        <f t="shared" ca="1" si="18"/>
        <v>0</v>
      </c>
      <c r="AL38" s="111">
        <f t="shared" ca="1" si="19"/>
        <v>0</v>
      </c>
      <c r="AM38" s="168">
        <f t="shared" ca="1" si="1"/>
        <v>381</v>
      </c>
      <c r="AN38" s="173">
        <f t="shared" si="27"/>
        <v>55154</v>
      </c>
      <c r="AO38" s="111">
        <f>IF(Eingabe!$E$71="JA",0,U38)</f>
        <v>0</v>
      </c>
      <c r="AP38" s="111">
        <f t="shared" si="20"/>
        <v>0</v>
      </c>
      <c r="AQ38" s="111">
        <f t="shared" si="2"/>
        <v>0</v>
      </c>
      <c r="AR38" s="111">
        <f t="shared" ca="1" si="21"/>
        <v>0</v>
      </c>
      <c r="AS38" s="111">
        <f t="shared" ca="1" si="22"/>
        <v>0</v>
      </c>
      <c r="AT38" s="111">
        <f t="shared" ca="1" si="3"/>
        <v>0</v>
      </c>
      <c r="AU38" s="111">
        <v>24500</v>
      </c>
      <c r="AV38" s="111">
        <f t="shared" ca="1" si="4"/>
        <v>0</v>
      </c>
      <c r="AW38" s="111">
        <f t="shared" ca="1" si="5"/>
        <v>0</v>
      </c>
      <c r="AX38" s="112">
        <f>Eingabe!$E$70</f>
        <v>4.4000000000000004</v>
      </c>
      <c r="AY38" s="168">
        <f t="shared" ca="1" si="23"/>
        <v>0</v>
      </c>
    </row>
    <row r="39" spans="1:51" s="104" customFormat="1" ht="6" customHeight="1">
      <c r="A39" s="172"/>
      <c r="B39" s="103"/>
      <c r="C39" s="103"/>
      <c r="D39" s="103"/>
      <c r="E39" s="103"/>
      <c r="F39" s="103"/>
      <c r="G39" s="103"/>
      <c r="H39" s="165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65"/>
      <c r="V39" s="174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65"/>
      <c r="AN39" s="174"/>
      <c r="AO39" s="113"/>
      <c r="AP39" s="103"/>
      <c r="AQ39" s="103"/>
      <c r="AR39" s="103"/>
      <c r="AS39" s="103"/>
      <c r="AT39" s="103"/>
      <c r="AU39" s="103"/>
      <c r="AV39" s="103"/>
      <c r="AW39" s="103"/>
      <c r="AX39" s="103"/>
      <c r="AY39" s="165"/>
    </row>
    <row r="40" spans="1:51" s="104" customFormat="1" ht="15.75" thickBot="1">
      <c r="A40" s="172"/>
      <c r="B40" s="103"/>
      <c r="C40" s="114">
        <f>SUM(C7:C38)</f>
        <v>28507.181001120538</v>
      </c>
      <c r="D40" s="114"/>
      <c r="E40" s="114"/>
      <c r="F40" s="114">
        <f t="shared" ref="F40:U40" ca="1" si="28">SUM(F7:F38)</f>
        <v>6388.0410153181974</v>
      </c>
      <c r="G40" s="114">
        <f t="shared" si="28"/>
        <v>3140.7226540591637</v>
      </c>
      <c r="H40" s="166">
        <f t="shared" ca="1" si="28"/>
        <v>38035.944670497898</v>
      </c>
      <c r="I40" s="114">
        <f t="shared" si="28"/>
        <v>9692.1070633036306</v>
      </c>
      <c r="J40" s="114">
        <f t="shared" si="28"/>
        <v>3876.8428253214529</v>
      </c>
      <c r="K40" s="114">
        <f t="shared" si="28"/>
        <v>1163.0528475964356</v>
      </c>
      <c r="L40" s="114">
        <f t="shared" si="28"/>
        <v>1938.4214126607264</v>
      </c>
      <c r="M40" s="114">
        <f t="shared" si="28"/>
        <v>387.68428253214512</v>
      </c>
      <c r="N40" s="114">
        <f t="shared" si="28"/>
        <v>6479.9999999999973</v>
      </c>
      <c r="O40" s="114">
        <f t="shared" si="28"/>
        <v>1620</v>
      </c>
      <c r="P40" s="114">
        <f t="shared" si="28"/>
        <v>5400</v>
      </c>
      <c r="Q40" s="114">
        <f t="shared" si="28"/>
        <v>0</v>
      </c>
      <c r="R40" s="114">
        <f t="shared" si="28"/>
        <v>3140.7226540591637</v>
      </c>
      <c r="S40" s="114">
        <f t="shared" ca="1" si="28"/>
        <v>1382.0966451766069</v>
      </c>
      <c r="T40" s="114">
        <f t="shared" ca="1" si="28"/>
        <v>453.99665382225703</v>
      </c>
      <c r="U40" s="166">
        <f t="shared" ca="1" si="28"/>
        <v>2501.0202860254781</v>
      </c>
      <c r="V40" s="170"/>
      <c r="W40" s="114">
        <f>SUM(W7:W38)</f>
        <v>1280000</v>
      </c>
      <c r="X40" s="114">
        <f t="shared" ref="X40:AM40" ca="1" si="29">SUM(X7:X38)</f>
        <v>1282501.0202860255</v>
      </c>
      <c r="Y40" s="114">
        <f t="shared" ca="1" si="29"/>
        <v>1636</v>
      </c>
      <c r="Z40" s="114">
        <f t="shared" ca="1" si="29"/>
        <v>1636</v>
      </c>
      <c r="AA40" s="114">
        <f t="shared" ca="1" si="29"/>
        <v>1166</v>
      </c>
      <c r="AB40" s="114">
        <f t="shared" ca="1" si="29"/>
        <v>0</v>
      </c>
      <c r="AC40" s="114">
        <f t="shared" si="29"/>
        <v>268404</v>
      </c>
      <c r="AD40" s="114">
        <f t="shared" si="29"/>
        <v>0</v>
      </c>
      <c r="AE40" s="114">
        <f t="shared" ca="1" si="29"/>
        <v>270040</v>
      </c>
      <c r="AF40" s="114">
        <f t="shared" ca="1" si="29"/>
        <v>0</v>
      </c>
      <c r="AG40" s="114">
        <f t="shared" ca="1" si="29"/>
        <v>0</v>
      </c>
      <c r="AH40" s="114">
        <f t="shared" si="29"/>
        <v>143514</v>
      </c>
      <c r="AI40" s="114">
        <f t="shared" si="29"/>
        <v>0</v>
      </c>
      <c r="AJ40" s="114">
        <f t="shared" ca="1" si="29"/>
        <v>144680</v>
      </c>
      <c r="AK40" s="114">
        <f t="shared" ca="1" si="29"/>
        <v>0</v>
      </c>
      <c r="AL40" s="114">
        <f t="shared" ca="1" si="29"/>
        <v>0</v>
      </c>
      <c r="AM40" s="166">
        <f t="shared" ca="1" si="29"/>
        <v>1636</v>
      </c>
      <c r="AN40" s="174"/>
      <c r="AO40" s="114">
        <f>SUM(AO7:AO38)</f>
        <v>0</v>
      </c>
      <c r="AP40" s="114">
        <f ca="1">SUM(AP7:AP38)</f>
        <v>0</v>
      </c>
      <c r="AQ40" s="114">
        <f ca="1">SUM(AQ7:AQ38)</f>
        <v>0</v>
      </c>
      <c r="AR40" s="115"/>
      <c r="AS40" s="115"/>
      <c r="AT40" s="114">
        <f ca="1">SUM(AT7:AT38)</f>
        <v>0</v>
      </c>
      <c r="AU40" s="115"/>
      <c r="AV40" s="114">
        <f ca="1">SUM(AV7:AV39)</f>
        <v>0</v>
      </c>
      <c r="AW40" s="115"/>
      <c r="AX40" s="115"/>
      <c r="AY40" s="166">
        <f ca="1">SUM(AY7:AY38)</f>
        <v>0</v>
      </c>
    </row>
    <row r="41" spans="1:51" s="104" customFormat="1" ht="8.2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</row>
    <row r="42" spans="1:51" s="104" customForma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225" t="s">
        <v>236</v>
      </c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 t="s">
        <v>163</v>
      </c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</row>
    <row r="43" spans="1:51" s="104" customForma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225" t="s">
        <v>237</v>
      </c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85" t="s">
        <v>183</v>
      </c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</row>
    <row r="44" spans="1:51" s="104" customForma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85" t="s">
        <v>184</v>
      </c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</row>
    <row r="45" spans="1:51" s="104" customFormat="1" hidden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</row>
    <row r="46" spans="1:51" s="104" customFormat="1" hidden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</row>
    <row r="47" spans="1:51" s="104" customFormat="1" hidden="1">
      <c r="A47" s="103"/>
      <c r="B47" s="103"/>
      <c r="C47" s="103"/>
      <c r="D47" s="103"/>
      <c r="E47" s="103"/>
      <c r="F47" s="103"/>
      <c r="G47" s="103"/>
      <c r="H47" s="103"/>
      <c r="I47" s="103" t="s">
        <v>0</v>
      </c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</row>
    <row r="48" spans="1:51" s="104" customFormat="1" hidden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</row>
  </sheetData>
  <sheetProtection algorithmName="SHA-512" hashValue="BFHS0sCOXUHQU3GmY1qjb3d1yKblxgVBAlVC43zLJ5e57yQfd9JuFx68yEuhPGZRBOhO9n3Af682Tjo2rQE2nw==" saltValue="akLw1S4jy1HKb29jlQp8Pg==" spinCount="100000" sheet="1" objects="1" scenarios="1"/>
  <mergeCells count="6">
    <mergeCell ref="AN3:AY3"/>
    <mergeCell ref="A1:F1"/>
    <mergeCell ref="A3:U3"/>
    <mergeCell ref="B5:G5"/>
    <mergeCell ref="I5:S5"/>
    <mergeCell ref="V3:AM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7" fitToWidth="2" fitToHeight="0" orientation="landscape" r:id="rId1"/>
  <headerFooter>
    <oddHeader>&amp;L&amp;F&amp;R&amp;D</oddHeader>
    <oddFooter>&amp;CSeite &amp;P</oddFooter>
  </headerFooter>
  <colBreaks count="1" manualBreakCount="1">
    <brk id="21" max="47" man="1"/>
  </col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K35"/>
  <sheetViews>
    <sheetView showGridLines="0" zoomScaleNormal="100" workbookViewId="0">
      <selection activeCell="E5" sqref="E5"/>
    </sheetView>
  </sheetViews>
  <sheetFormatPr baseColWidth="10" defaultColWidth="0" defaultRowHeight="15" zeroHeight="1"/>
  <cols>
    <col min="1" max="1" width="1.625" style="22" customWidth="1"/>
    <col min="2" max="2" width="11" style="22" customWidth="1"/>
    <col min="3" max="3" width="14.625" style="22" customWidth="1"/>
    <col min="4" max="4" width="11.625" style="22" customWidth="1"/>
    <col min="5" max="5" width="14.5" style="22" customWidth="1"/>
    <col min="6" max="7" width="14.625" style="22" customWidth="1"/>
    <col min="8" max="8" width="1.625" style="23" customWidth="1"/>
    <col min="9" max="9" width="11" style="22" hidden="1" customWidth="1"/>
    <col min="10" max="11" width="0" style="22" hidden="1" customWidth="1"/>
    <col min="12" max="16384" width="11" style="22" hidden="1"/>
  </cols>
  <sheetData>
    <row r="1" spans="2:11" s="66" customFormat="1" ht="35.1" customHeight="1">
      <c r="B1" s="238" t="s">
        <v>243</v>
      </c>
      <c r="C1" s="239"/>
      <c r="D1" s="239"/>
      <c r="E1" s="239"/>
      <c r="F1" s="21"/>
      <c r="G1" s="21"/>
      <c r="H1" s="140"/>
    </row>
    <row r="2" spans="2:11" ht="9" customHeight="1"/>
    <row r="3" spans="2:11" s="53" customFormat="1" ht="15.75">
      <c r="B3" s="46"/>
      <c r="C3" s="67"/>
      <c r="D3" s="67"/>
      <c r="E3" s="67"/>
      <c r="F3" s="67"/>
      <c r="G3" s="67"/>
      <c r="H3" s="216"/>
    </row>
    <row r="4" spans="2:11" ht="5.25" customHeight="1"/>
    <row r="5" spans="2:11">
      <c r="B5" s="22" t="s">
        <v>56</v>
      </c>
      <c r="E5" s="259" t="s">
        <v>248</v>
      </c>
    </row>
    <row r="6" spans="2:11">
      <c r="B6" s="22" t="s">
        <v>57</v>
      </c>
      <c r="E6" s="26">
        <f>IF(Eingabe!E48="Ja",Eingabe!G10,IF(Eingabe!E48="Nein",Eingabe!E10,"Eingabe unvollständig"))</f>
        <v>13500</v>
      </c>
    </row>
    <row r="7" spans="2:11">
      <c r="B7" s="22" t="s">
        <v>65</v>
      </c>
      <c r="E7" s="26">
        <f>IF(Eingabe!E66="Nein",0,IF(Eingabe!E66="Ja",'Absetzung für Abnutzung'!E6*Eingabe!E67,"Eingabe unvollständig"))</f>
        <v>5400</v>
      </c>
    </row>
    <row r="8" spans="2:11">
      <c r="B8" s="22" t="s">
        <v>58</v>
      </c>
      <c r="E8" s="65">
        <f>IF(Eingabe!E12="","Eingabe unvollständig",Eingabe!E12)</f>
        <v>44331</v>
      </c>
      <c r="J8" s="22">
        <f>DATEDIF(EOMONTH(E8,-1),DATE(YEAR(E8),12,31),"m")</f>
        <v>8</v>
      </c>
      <c r="K8" s="22" t="s">
        <v>37</v>
      </c>
    </row>
    <row r="9" spans="2:11">
      <c r="B9" s="22" t="s">
        <v>168</v>
      </c>
      <c r="E9" s="22">
        <f>Eingabe!E59</f>
        <v>20</v>
      </c>
      <c r="J9" s="22">
        <f>E9*12</f>
        <v>240</v>
      </c>
      <c r="K9" s="22" t="s">
        <v>37</v>
      </c>
    </row>
    <row r="10" spans="2:11">
      <c r="B10" s="22" t="s">
        <v>59</v>
      </c>
      <c r="E10" s="34">
        <f>100%/E9</f>
        <v>0.05</v>
      </c>
    </row>
    <row r="11" spans="2:11"/>
    <row r="12" spans="2:11" s="52" customFormat="1">
      <c r="H12" s="217"/>
    </row>
    <row r="13" spans="2:11" s="121" customFormat="1" ht="30.75" customHeight="1">
      <c r="B13" s="119" t="s">
        <v>60</v>
      </c>
      <c r="C13" s="119" t="s">
        <v>61</v>
      </c>
      <c r="D13" s="119" t="s">
        <v>62</v>
      </c>
      <c r="E13" s="120" t="s">
        <v>180</v>
      </c>
      <c r="F13" s="119" t="s">
        <v>63</v>
      </c>
      <c r="G13" s="119" t="s">
        <v>64</v>
      </c>
      <c r="H13" s="218"/>
    </row>
    <row r="14" spans="2:11" s="52" customFormat="1">
      <c r="B14" s="118">
        <f>IF(E8="Eingabe unvollständig","",YEAR(E8))</f>
        <v>2021</v>
      </c>
      <c r="C14" s="97"/>
      <c r="D14" s="97">
        <f>(E6-E7)*E10*(DATEDIF(EOMONTH(E8,-1),DATE(YEAR(E8),12,31),"m")/12)</f>
        <v>270</v>
      </c>
      <c r="E14" s="97">
        <f>IF(Eingabe!E60="Nein",0,IF(Eingabe!E60="Ja",('Absetzung für Abnutzung'!E6-'Absetzung für Abnutzung'!E7)*Eingabe!E61,0))</f>
        <v>1620</v>
      </c>
      <c r="F14" s="97">
        <f>SUM(D14:E14)</f>
        <v>1890</v>
      </c>
      <c r="G14" s="97">
        <f>(E6-E7)-D14-E14</f>
        <v>6210</v>
      </c>
      <c r="H14" s="217"/>
    </row>
    <row r="15" spans="2:11" s="52" customFormat="1">
      <c r="B15" s="118">
        <f>IF(B14="","",B14+1)</f>
        <v>2022</v>
      </c>
      <c r="C15" s="97">
        <f>G14</f>
        <v>6210</v>
      </c>
      <c r="D15" s="97">
        <f>IF(($E$6-$E$7)*$E$10&lt;=C15,($E$6-$E$7)*$E$10,C15)</f>
        <v>405</v>
      </c>
      <c r="E15" s="122"/>
      <c r="F15" s="97">
        <f>SUM($D$14:D15)+SUM($E$14:E15)</f>
        <v>2295</v>
      </c>
      <c r="G15" s="97">
        <f>C15-D15-E15</f>
        <v>5805</v>
      </c>
      <c r="H15" s="217"/>
      <c r="J15" s="52">
        <v>12</v>
      </c>
      <c r="K15" s="52" t="s">
        <v>37</v>
      </c>
    </row>
    <row r="16" spans="2:11" s="52" customFormat="1">
      <c r="B16" s="118">
        <f t="shared" ref="B16:B34" si="0">IF(B15="","",B15+1)</f>
        <v>2023</v>
      </c>
      <c r="C16" s="97">
        <f t="shared" ref="C16:C34" si="1">G15</f>
        <v>5805</v>
      </c>
      <c r="D16" s="97">
        <f t="shared" ref="D16:D18" si="2">IF(($E$6-$E$7)*$E$10&lt;=C16,($E$6-$E$7)*$E$10,C16)</f>
        <v>405</v>
      </c>
      <c r="E16" s="122"/>
      <c r="F16" s="97">
        <f>SUM($D$14:D16)+SUM($E$14:E16)</f>
        <v>2700</v>
      </c>
      <c r="G16" s="97">
        <f t="shared" ref="G16:G34" si="3">C16-D16-E16</f>
        <v>5400</v>
      </c>
      <c r="H16" s="217"/>
      <c r="J16" s="52">
        <v>12</v>
      </c>
      <c r="K16" s="52" t="s">
        <v>37</v>
      </c>
    </row>
    <row r="17" spans="2:11" s="52" customFormat="1">
      <c r="B17" s="118">
        <f t="shared" si="0"/>
        <v>2024</v>
      </c>
      <c r="C17" s="97">
        <f t="shared" si="1"/>
        <v>5400</v>
      </c>
      <c r="D17" s="97">
        <f t="shared" si="2"/>
        <v>405</v>
      </c>
      <c r="E17" s="122"/>
      <c r="F17" s="97">
        <f>SUM($D$14:D17)+SUM($E$14:E17)</f>
        <v>3105</v>
      </c>
      <c r="G17" s="97">
        <f t="shared" si="3"/>
        <v>4995</v>
      </c>
      <c r="H17" s="217"/>
      <c r="J17" s="52">
        <v>12</v>
      </c>
      <c r="K17" s="52" t="s">
        <v>37</v>
      </c>
    </row>
    <row r="18" spans="2:11" s="52" customFormat="1">
      <c r="B18" s="118">
        <f t="shared" si="0"/>
        <v>2025</v>
      </c>
      <c r="C18" s="97">
        <f t="shared" si="1"/>
        <v>4995</v>
      </c>
      <c r="D18" s="97">
        <f t="shared" si="2"/>
        <v>405</v>
      </c>
      <c r="E18" s="122"/>
      <c r="F18" s="97">
        <f>SUM($D$14:D18)+SUM($E$14:E18)</f>
        <v>3510</v>
      </c>
      <c r="G18" s="97">
        <f t="shared" si="3"/>
        <v>4590</v>
      </c>
      <c r="H18" s="217"/>
      <c r="J18" s="52">
        <v>12</v>
      </c>
      <c r="K18" s="52" t="s">
        <v>37</v>
      </c>
    </row>
    <row r="19" spans="2:11" s="52" customFormat="1">
      <c r="B19" s="118">
        <f t="shared" si="0"/>
        <v>2026</v>
      </c>
      <c r="C19" s="97">
        <f t="shared" si="1"/>
        <v>4590</v>
      </c>
      <c r="D19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Abnutzung'!C19,'Absetzung für Abnutzung'!$C$19/('Absetzung für Abnutzung'!$J$9-'Absetzung für Abnutzung'!$J$8-'Absetzung für Abnutzung'!$J$15-'Absetzung für Abnutzung'!$J$16-'Absetzung für Abnutzung'!$J$17-'Absetzung für Abnutzung'!$J$18)*12,C19),IF(($E$6-$E$7)*$E$10&lt;=C19,($E$6-$E$7)*$E$10,C19))</f>
        <v>299.3478260869565</v>
      </c>
      <c r="E19" s="122"/>
      <c r="F19" s="97">
        <f>SUM($D$14:D19)+SUM($E$14:E19)</f>
        <v>3809.3478260869565</v>
      </c>
      <c r="G19" s="97">
        <f t="shared" si="3"/>
        <v>4290.652173913044</v>
      </c>
      <c r="H19" s="217"/>
    </row>
    <row r="20" spans="2:11" s="52" customFormat="1">
      <c r="B20" s="118">
        <f t="shared" si="0"/>
        <v>2027</v>
      </c>
      <c r="C20" s="97">
        <f t="shared" si="1"/>
        <v>4290.652173913044</v>
      </c>
      <c r="D20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Abnutzung'!C20,'Absetzung für Abnutzung'!$C$19/('Absetzung für Abnutzung'!$J$9-'Absetzung für Abnutzung'!$J$8-'Absetzung für Abnutzung'!$J$15-'Absetzung für Abnutzung'!$J$16-'Absetzung für Abnutzung'!$J$17-'Absetzung für Abnutzung'!$J$18)*12,C20),IF(($E$6-$E$7)*$E$10&lt;=C20,($E$6-$E$7)*$E$10,C20))</f>
        <v>299.3478260869565</v>
      </c>
      <c r="E20" s="122"/>
      <c r="F20" s="97">
        <f>SUM($D$14:D20)+SUM($E$14:E20)</f>
        <v>4108.695652173913</v>
      </c>
      <c r="G20" s="97">
        <f t="shared" si="3"/>
        <v>3991.3043478260875</v>
      </c>
      <c r="H20" s="217"/>
    </row>
    <row r="21" spans="2:11" s="52" customFormat="1">
      <c r="B21" s="118">
        <f t="shared" si="0"/>
        <v>2028</v>
      </c>
      <c r="C21" s="97">
        <f t="shared" si="1"/>
        <v>3991.3043478260875</v>
      </c>
      <c r="D21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Abnutzung'!C21,'Absetzung für Abnutzung'!$C$19/('Absetzung für Abnutzung'!$J$9-'Absetzung für Abnutzung'!$J$8-'Absetzung für Abnutzung'!$J$15-'Absetzung für Abnutzung'!$J$16-'Absetzung für Abnutzung'!$J$17-'Absetzung für Abnutzung'!$J$18)*12,C21),IF(($E$6-$E$7)*$E$10&lt;=C21,($E$6-$E$7)*$E$10,C21))</f>
        <v>299.3478260869565</v>
      </c>
      <c r="E21" s="122"/>
      <c r="F21" s="97">
        <f>SUM($D$14:D21)+SUM($E$14:E21)</f>
        <v>4408.04347826087</v>
      </c>
      <c r="G21" s="97">
        <f t="shared" si="3"/>
        <v>3691.9565217391309</v>
      </c>
      <c r="H21" s="217"/>
    </row>
    <row r="22" spans="2:11" s="52" customFormat="1">
      <c r="B22" s="118">
        <f t="shared" si="0"/>
        <v>2029</v>
      </c>
      <c r="C22" s="97">
        <f t="shared" si="1"/>
        <v>3691.9565217391309</v>
      </c>
      <c r="D22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Abnutzung'!C22,'Absetzung für Abnutzung'!$C$19/('Absetzung für Abnutzung'!$J$9-'Absetzung für Abnutzung'!$J$8-'Absetzung für Abnutzung'!$J$15-'Absetzung für Abnutzung'!$J$16-'Absetzung für Abnutzung'!$J$17-'Absetzung für Abnutzung'!$J$18)*12,C22),IF(($E$6-$E$7)*$E$10&lt;=C22,($E$6-$E$7)*$E$10,C22))</f>
        <v>299.3478260869565</v>
      </c>
      <c r="E22" s="122"/>
      <c r="F22" s="97">
        <f>SUM($D$14:D22)+SUM($E$14:E22)</f>
        <v>4707.391304347826</v>
      </c>
      <c r="G22" s="97">
        <f t="shared" si="3"/>
        <v>3392.6086956521744</v>
      </c>
      <c r="H22" s="217"/>
    </row>
    <row r="23" spans="2:11" s="52" customFormat="1">
      <c r="B23" s="118">
        <f t="shared" si="0"/>
        <v>2030</v>
      </c>
      <c r="C23" s="97">
        <f t="shared" si="1"/>
        <v>3392.6086956521744</v>
      </c>
      <c r="D23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Abnutzung'!C23,'Absetzung für Abnutzung'!$C$19/('Absetzung für Abnutzung'!$J$9-'Absetzung für Abnutzung'!$J$8-'Absetzung für Abnutzung'!$J$15-'Absetzung für Abnutzung'!$J$16-'Absetzung für Abnutzung'!$J$17-'Absetzung für Abnutzung'!$J$18)*12,C23),IF(($E$6-$E$7)*$E$10&lt;=C23,($E$6-$E$7)*$E$10,C23))</f>
        <v>299.3478260869565</v>
      </c>
      <c r="E23" s="122"/>
      <c r="F23" s="97">
        <f>SUM($D$14:D23)+SUM($E$14:E23)</f>
        <v>5006.7391304347821</v>
      </c>
      <c r="G23" s="97">
        <f t="shared" si="3"/>
        <v>3093.2608695652179</v>
      </c>
      <c r="H23" s="217"/>
    </row>
    <row r="24" spans="2:11" s="52" customFormat="1">
      <c r="B24" s="118">
        <f t="shared" si="0"/>
        <v>2031</v>
      </c>
      <c r="C24" s="97">
        <f t="shared" si="1"/>
        <v>3093.2608695652179</v>
      </c>
      <c r="D24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Abnutzung'!C24,'Absetzung für Abnutzung'!$C$19/('Absetzung für Abnutzung'!$J$9-'Absetzung für Abnutzung'!$J$8-'Absetzung für Abnutzung'!$J$15-'Absetzung für Abnutzung'!$J$16-'Absetzung für Abnutzung'!$J$17-'Absetzung für Abnutzung'!$J$18)*12,C24),IF(($E$6-$E$7)*$E$10&lt;=C24,($E$6-$E$7)*$E$10,C24))</f>
        <v>299.3478260869565</v>
      </c>
      <c r="E24" s="122"/>
      <c r="F24" s="97">
        <f>SUM($D$14:D24)+SUM($E$14:E24)</f>
        <v>5306.086956521739</v>
      </c>
      <c r="G24" s="97">
        <f t="shared" si="3"/>
        <v>2793.9130434782614</v>
      </c>
      <c r="H24" s="217"/>
    </row>
    <row r="25" spans="2:11" s="52" customFormat="1">
      <c r="B25" s="118">
        <f t="shared" si="0"/>
        <v>2032</v>
      </c>
      <c r="C25" s="97">
        <f t="shared" si="1"/>
        <v>2793.9130434782614</v>
      </c>
      <c r="D25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Abnutzung'!C25,'Absetzung für Abnutzung'!$C$19/('Absetzung für Abnutzung'!$J$9-'Absetzung für Abnutzung'!$J$8-'Absetzung für Abnutzung'!$J$15-'Absetzung für Abnutzung'!$J$16-'Absetzung für Abnutzung'!$J$17-'Absetzung für Abnutzung'!$J$18)*12,C25),IF(($E$6-$E$7)*$E$10&lt;=C25,($E$6-$E$7)*$E$10,C25))</f>
        <v>299.3478260869565</v>
      </c>
      <c r="E25" s="122"/>
      <c r="F25" s="97">
        <f>SUM($D$14:D25)+SUM($E$14:E25)</f>
        <v>5605.434782608696</v>
      </c>
      <c r="G25" s="97">
        <f t="shared" si="3"/>
        <v>2494.5652173913049</v>
      </c>
      <c r="H25" s="217"/>
    </row>
    <row r="26" spans="2:11" s="52" customFormat="1">
      <c r="B26" s="118">
        <f t="shared" si="0"/>
        <v>2033</v>
      </c>
      <c r="C26" s="97">
        <f t="shared" si="1"/>
        <v>2494.5652173913049</v>
      </c>
      <c r="D26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Abnutzung'!C26,'Absetzung für Abnutzung'!$C$19/('Absetzung für Abnutzung'!$J$9-'Absetzung für Abnutzung'!$J$8-'Absetzung für Abnutzung'!$J$15-'Absetzung für Abnutzung'!$J$16-'Absetzung für Abnutzung'!$J$17-'Absetzung für Abnutzung'!$J$18)*12,C26),IF(($E$6-$E$7)*$E$10&lt;=C26,($E$6-$E$7)*$E$10,C26))</f>
        <v>299.3478260869565</v>
      </c>
      <c r="E26" s="122"/>
      <c r="F26" s="97">
        <f>SUM($D$14:D26)+SUM($E$14:E26)</f>
        <v>5904.782608695652</v>
      </c>
      <c r="G26" s="97">
        <f t="shared" si="3"/>
        <v>2195.2173913043484</v>
      </c>
      <c r="H26" s="217"/>
    </row>
    <row r="27" spans="2:11" s="52" customFormat="1">
      <c r="B27" s="118">
        <f t="shared" si="0"/>
        <v>2034</v>
      </c>
      <c r="C27" s="97">
        <f t="shared" si="1"/>
        <v>2195.2173913043484</v>
      </c>
      <c r="D27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Abnutzung'!C27,'Absetzung für Abnutzung'!$C$19/('Absetzung für Abnutzung'!$J$9-'Absetzung für Abnutzung'!$J$8-'Absetzung für Abnutzung'!$J$15-'Absetzung für Abnutzung'!$J$16-'Absetzung für Abnutzung'!$J$17-'Absetzung für Abnutzung'!$J$18)*12,C27),IF(($E$6-$E$7)*$E$10&lt;=C27,($E$6-$E$7)*$E$10,C27))</f>
        <v>299.3478260869565</v>
      </c>
      <c r="E27" s="122"/>
      <c r="F27" s="97">
        <f>SUM($D$14:D27)+SUM($E$14:E27)</f>
        <v>6204.1304347826081</v>
      </c>
      <c r="G27" s="97">
        <f t="shared" si="3"/>
        <v>1895.8695652173919</v>
      </c>
      <c r="H27" s="217"/>
    </row>
    <row r="28" spans="2:11" s="52" customFormat="1">
      <c r="B28" s="118">
        <f t="shared" si="0"/>
        <v>2035</v>
      </c>
      <c r="C28" s="97">
        <f t="shared" si="1"/>
        <v>1895.8695652173919</v>
      </c>
      <c r="D28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Abnutzung'!C28,'Absetzung für Abnutzung'!$C$19/('Absetzung für Abnutzung'!$J$9-'Absetzung für Abnutzung'!$J$8-'Absetzung für Abnutzung'!$J$15-'Absetzung für Abnutzung'!$J$16-'Absetzung für Abnutzung'!$J$17-'Absetzung für Abnutzung'!$J$18)*12,C28),IF(($E$6-$E$7)*$E$10&lt;=C28,($E$6-$E$7)*$E$10,C28))</f>
        <v>299.3478260869565</v>
      </c>
      <c r="E28" s="122"/>
      <c r="F28" s="97">
        <f>SUM($D$14:D28)+SUM($E$14:E28)</f>
        <v>6503.4782608695641</v>
      </c>
      <c r="G28" s="97">
        <f t="shared" si="3"/>
        <v>1596.5217391304354</v>
      </c>
      <c r="H28" s="217"/>
    </row>
    <row r="29" spans="2:11" s="52" customFormat="1">
      <c r="B29" s="118">
        <f t="shared" si="0"/>
        <v>2036</v>
      </c>
      <c r="C29" s="97">
        <f t="shared" si="1"/>
        <v>1596.5217391304354</v>
      </c>
      <c r="D29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Abnutzung'!C29,'Absetzung für Abnutzung'!$C$19/('Absetzung für Abnutzung'!$J$9-'Absetzung für Abnutzung'!$J$8-'Absetzung für Abnutzung'!$J$15-'Absetzung für Abnutzung'!$J$16-'Absetzung für Abnutzung'!$J$17-'Absetzung für Abnutzung'!$J$18)*12,C29),IF(($E$6-$E$7)*$E$10&lt;=C29,($E$6-$E$7)*$E$10,C29))</f>
        <v>299.3478260869565</v>
      </c>
      <c r="E29" s="122"/>
      <c r="F29" s="97">
        <f>SUM($D$14:D29)+SUM($E$14:E29)</f>
        <v>6802.8260869565202</v>
      </c>
      <c r="G29" s="97">
        <f t="shared" si="3"/>
        <v>1297.1739130434789</v>
      </c>
      <c r="H29" s="217"/>
    </row>
    <row r="30" spans="2:11" s="52" customFormat="1">
      <c r="B30" s="118">
        <f t="shared" si="0"/>
        <v>2037</v>
      </c>
      <c r="C30" s="97">
        <f t="shared" si="1"/>
        <v>1297.1739130434789</v>
      </c>
      <c r="D30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Abnutzung'!C30,'Absetzung für Abnutzung'!$C$19/('Absetzung für Abnutzung'!$J$9-'Absetzung für Abnutzung'!$J$8-'Absetzung für Abnutzung'!$J$15-'Absetzung für Abnutzung'!$J$16-'Absetzung für Abnutzung'!$J$17-'Absetzung für Abnutzung'!$J$18)*12,C30),IF(($E$6-$E$7)*$E$10&lt;=C30,($E$6-$E$7)*$E$10,C30))</f>
        <v>299.3478260869565</v>
      </c>
      <c r="E30" s="122"/>
      <c r="F30" s="97">
        <f>SUM($D$14:D30)+SUM($E$14:E30)</f>
        <v>7102.1739130434762</v>
      </c>
      <c r="G30" s="97">
        <f t="shared" si="3"/>
        <v>997.82608695652243</v>
      </c>
      <c r="H30" s="217"/>
    </row>
    <row r="31" spans="2:11" s="52" customFormat="1">
      <c r="B31" s="118">
        <f t="shared" si="0"/>
        <v>2038</v>
      </c>
      <c r="C31" s="97">
        <f t="shared" si="1"/>
        <v>997.82608695652243</v>
      </c>
      <c r="D31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Abnutzung'!C31,'Absetzung für Abnutzung'!$C$19/('Absetzung für Abnutzung'!$J$9-'Absetzung für Abnutzung'!$J$8-'Absetzung für Abnutzung'!$J$15-'Absetzung für Abnutzung'!$J$16-'Absetzung für Abnutzung'!$J$17-'Absetzung für Abnutzung'!$J$18)*12,C31),IF(($E$6-$E$7)*$E$10&lt;=C31,($E$6-$E$7)*$E$10,C31))</f>
        <v>299.3478260869565</v>
      </c>
      <c r="E31" s="122"/>
      <c r="F31" s="97">
        <f>SUM($D$14:D31)+SUM($E$14:E31)</f>
        <v>7401.5217391304323</v>
      </c>
      <c r="G31" s="97">
        <f t="shared" si="3"/>
        <v>698.47826086956593</v>
      </c>
      <c r="H31" s="217"/>
    </row>
    <row r="32" spans="2:11" s="52" customFormat="1">
      <c r="B32" s="118">
        <f t="shared" si="0"/>
        <v>2039</v>
      </c>
      <c r="C32" s="97">
        <f t="shared" si="1"/>
        <v>698.47826086956593</v>
      </c>
      <c r="D32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Abnutzung'!C32,'Absetzung für Abnutzung'!$C$19/('Absetzung für Abnutzung'!$J$9-'Absetzung für Abnutzung'!$J$8-'Absetzung für Abnutzung'!$J$15-'Absetzung für Abnutzung'!$J$16-'Absetzung für Abnutzung'!$J$17-'Absetzung für Abnutzung'!$J$18)*12,C32),IF(($E$6-$E$7)*$E$10&lt;=C32,($E$6-$E$7)*$E$10,C32))</f>
        <v>299.3478260869565</v>
      </c>
      <c r="E32" s="122"/>
      <c r="F32" s="97">
        <f>SUM($D$14:D32)+SUM($E$14:E32)</f>
        <v>7700.8695652173883</v>
      </c>
      <c r="G32" s="97">
        <f t="shared" si="3"/>
        <v>399.13043478260943</v>
      </c>
      <c r="H32" s="217"/>
    </row>
    <row r="33" spans="2:8" s="52" customFormat="1">
      <c r="B33" s="118">
        <f t="shared" si="0"/>
        <v>2040</v>
      </c>
      <c r="C33" s="97">
        <f t="shared" si="1"/>
        <v>399.13043478260943</v>
      </c>
      <c r="D33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Abnutzung'!C33,'Absetzung für Abnutzung'!$C$19/('Absetzung für Abnutzung'!$J$9-'Absetzung für Abnutzung'!$J$8-'Absetzung für Abnutzung'!$J$15-'Absetzung für Abnutzung'!$J$16-'Absetzung für Abnutzung'!$J$17-'Absetzung für Abnutzung'!$J$18)*12,C33),IF(($E$6-$E$7)*$E$10&lt;=C33,($E$6-$E$7)*$E$10,C33))</f>
        <v>299.3478260869565</v>
      </c>
      <c r="E33" s="122"/>
      <c r="F33" s="97">
        <f>SUM($D$14:D33)+SUM($E$14:E33)</f>
        <v>8000.2173913043443</v>
      </c>
      <c r="G33" s="97">
        <f t="shared" si="3"/>
        <v>99.782608695652925</v>
      </c>
      <c r="H33" s="217"/>
    </row>
    <row r="34" spans="2:8" s="52" customFormat="1">
      <c r="B34" s="118">
        <f t="shared" si="0"/>
        <v>2041</v>
      </c>
      <c r="C34" s="97">
        <f t="shared" si="1"/>
        <v>99.782608695652925</v>
      </c>
      <c r="D34" s="97">
        <f>IF(Eingabe!$E$60="Ja",IF('Absetzung für Abnutzung'!$C$19/('Absetzung für Abnutzung'!$J$9-'Absetzung für Abnutzung'!$J$8-'Absetzung für Abnutzung'!$J$15-'Absetzung für Abnutzung'!$J$16-'Absetzung für Abnutzung'!$J$17-'Absetzung für Abnutzung'!$J$18)*12&lt;='Absetzung für Abnutzung'!C34,'Absetzung für Abnutzung'!$C$19/('Absetzung für Abnutzung'!$J$9-'Absetzung für Abnutzung'!$J$8-'Absetzung für Abnutzung'!$J$15-'Absetzung für Abnutzung'!$J$16-'Absetzung für Abnutzung'!$J$17-'Absetzung für Abnutzung'!$J$18)*12,C34),IF(($E$6-$E$7)*$E$10&lt;=C34,($E$6-$E$7)*$E$10,C34))</f>
        <v>99.782608695652925</v>
      </c>
      <c r="E34" s="122"/>
      <c r="F34" s="97">
        <f>SUM($D$14:D34)+SUM($E$14:E34)</f>
        <v>8099.9999999999973</v>
      </c>
      <c r="G34" s="97">
        <f t="shared" si="3"/>
        <v>0</v>
      </c>
      <c r="H34" s="217"/>
    </row>
    <row r="35" spans="2:8" s="52" customFormat="1">
      <c r="H35" s="217"/>
    </row>
  </sheetData>
  <sheetProtection algorithmName="SHA-512" hashValue="I7Oz+IeFafaXySqY+Zmyn19kXUA8gFQrxglIP2z+GQG08YrcGLmUT3nDdbW56Eebx9c5WikK7hPdzRedB3Yb2Q==" saltValue="1JjaUD6rtefgvwHjy4pqPg==" spinCount="100000" sheet="1" objects="1" scenarios="1"/>
  <mergeCells count="1">
    <mergeCell ref="B1:E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Header>&amp;L&amp;F&amp;R&amp;D</oddHeader>
    <oddFooter>&amp;CSeite &amp;P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pageSetUpPr fitToPage="1"/>
  </sheetPr>
  <dimension ref="A1:AA48"/>
  <sheetViews>
    <sheetView showGridLines="0" zoomScale="80" zoomScaleNormal="80" workbookViewId="0">
      <selection sqref="A1:F1"/>
    </sheetView>
  </sheetViews>
  <sheetFormatPr baseColWidth="10" defaultColWidth="0" defaultRowHeight="15" zeroHeight="1"/>
  <cols>
    <col min="1" max="1" width="11" style="40" customWidth="1"/>
    <col min="2" max="2" width="12.875" style="40" customWidth="1"/>
    <col min="3" max="3" width="15.25" style="40" customWidth="1"/>
    <col min="4" max="4" width="19.5" style="40" hidden="1" customWidth="1"/>
    <col min="5" max="5" width="5" style="40" hidden="1" customWidth="1"/>
    <col min="6" max="6" width="13.5" style="40" customWidth="1"/>
    <col min="7" max="7" width="14" style="40" customWidth="1"/>
    <col min="8" max="8" width="15.625" style="40" customWidth="1"/>
    <col min="9" max="9" width="15.875" style="40" customWidth="1"/>
    <col min="10" max="10" width="14" style="40" customWidth="1"/>
    <col min="11" max="11" width="13.875" style="40" customWidth="1"/>
    <col min="12" max="12" width="14.5" style="40" customWidth="1"/>
    <col min="13" max="13" width="15.75" style="40" customWidth="1"/>
    <col min="14" max="14" width="13.25" style="40" customWidth="1"/>
    <col min="15" max="18" width="19.5" style="40" hidden="1" customWidth="1"/>
    <col min="19" max="19" width="14.75" style="40" customWidth="1"/>
    <col min="20" max="20" width="14" style="40" customWidth="1"/>
    <col min="21" max="21" width="13.5" style="40" customWidth="1"/>
    <col min="22" max="22" width="15.125" style="40" customWidth="1"/>
    <col min="23" max="23" width="14.75" style="40" customWidth="1"/>
    <col min="24" max="24" width="13.25" style="40" customWidth="1"/>
    <col min="25" max="25" width="15.625" style="40" customWidth="1"/>
    <col min="26" max="26" width="16" style="40" customWidth="1"/>
    <col min="27" max="27" width="1.625" style="23" customWidth="1"/>
    <col min="28" max="16384" width="11" style="22" hidden="1"/>
  </cols>
  <sheetData>
    <row r="1" spans="1:27" s="21" customFormat="1" ht="35.1" customHeight="1">
      <c r="A1" s="238" t="s">
        <v>244</v>
      </c>
      <c r="B1" s="239"/>
      <c r="C1" s="239"/>
      <c r="D1" s="239"/>
      <c r="E1" s="239"/>
      <c r="F1" s="239"/>
      <c r="H1" s="20"/>
      <c r="I1" s="20"/>
      <c r="O1" s="20"/>
      <c r="AA1" s="140"/>
    </row>
    <row r="2" spans="1:27" ht="12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7" s="73" customFormat="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AA3" s="219"/>
    </row>
    <row r="4" spans="1:27" ht="6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7" ht="15.75" thickBot="1">
      <c r="A5" s="22"/>
      <c r="B5" s="244" t="s">
        <v>92</v>
      </c>
      <c r="C5" s="244"/>
      <c r="D5" s="244"/>
      <c r="E5" s="244"/>
      <c r="F5" s="244"/>
      <c r="G5" s="244"/>
      <c r="H5" s="22"/>
      <c r="I5" s="22"/>
      <c r="J5" s="245" t="s">
        <v>93</v>
      </c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5"/>
      <c r="V5" s="22"/>
      <c r="W5" s="245" t="s">
        <v>108</v>
      </c>
      <c r="X5" s="245"/>
      <c r="Y5" s="22"/>
      <c r="Z5" s="22"/>
    </row>
    <row r="6" spans="1:27" s="44" customFormat="1" ht="120">
      <c r="A6" s="131" t="s">
        <v>73</v>
      </c>
      <c r="B6" s="98" t="s">
        <v>209</v>
      </c>
      <c r="C6" s="98" t="s">
        <v>210</v>
      </c>
      <c r="D6" s="98" t="s">
        <v>137</v>
      </c>
      <c r="E6" s="98" t="s">
        <v>134</v>
      </c>
      <c r="F6" s="98" t="s">
        <v>164</v>
      </c>
      <c r="G6" s="98" t="s">
        <v>211</v>
      </c>
      <c r="H6" s="177" t="s">
        <v>92</v>
      </c>
      <c r="I6" s="98" t="s">
        <v>212</v>
      </c>
      <c r="J6" s="132" t="s">
        <v>213</v>
      </c>
      <c r="K6" s="132" t="s">
        <v>85</v>
      </c>
      <c r="L6" s="132" t="s">
        <v>86</v>
      </c>
      <c r="M6" s="132" t="s">
        <v>214</v>
      </c>
      <c r="N6" s="132" t="s">
        <v>215</v>
      </c>
      <c r="O6" s="132" t="s">
        <v>45</v>
      </c>
      <c r="P6" s="132" t="s">
        <v>44</v>
      </c>
      <c r="Q6" s="132" t="s">
        <v>181</v>
      </c>
      <c r="R6" s="132" t="s">
        <v>89</v>
      </c>
      <c r="S6" s="132" t="s">
        <v>216</v>
      </c>
      <c r="T6" s="132" t="s">
        <v>217</v>
      </c>
      <c r="U6" s="132" t="s">
        <v>218</v>
      </c>
      <c r="V6" s="133" t="s">
        <v>219</v>
      </c>
      <c r="W6" s="134" t="s">
        <v>220</v>
      </c>
      <c r="X6" s="135" t="s">
        <v>221</v>
      </c>
      <c r="Y6" s="133" t="s">
        <v>222</v>
      </c>
      <c r="Z6" s="133" t="s">
        <v>126</v>
      </c>
      <c r="AA6" s="45"/>
    </row>
    <row r="7" spans="1:27">
      <c r="A7" s="123">
        <f>EDATE(A8,-12)</f>
        <v>43831</v>
      </c>
      <c r="B7" s="179">
        <v>0</v>
      </c>
      <c r="C7" s="180">
        <v>0</v>
      </c>
      <c r="D7" s="181"/>
      <c r="E7" s="180"/>
      <c r="F7" s="180">
        <v>0</v>
      </c>
      <c r="G7" s="180">
        <v>0</v>
      </c>
      <c r="H7" s="71">
        <v>0</v>
      </c>
      <c r="I7" s="61"/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/>
      <c r="P7" s="59"/>
      <c r="Q7" s="59"/>
      <c r="R7" s="59">
        <f>IF(Eingabe!E64="Ja",-'Absetzung für Abnutzung'!E6*Eingabe!E65,"")</f>
        <v>-5400</v>
      </c>
      <c r="S7" s="60">
        <v>0</v>
      </c>
      <c r="T7" s="60">
        <v>0</v>
      </c>
      <c r="U7" s="61">
        <v>0</v>
      </c>
      <c r="V7" s="69">
        <v>0</v>
      </c>
      <c r="W7" s="70">
        <f ca="1">-'Steuerliche Gewinnermittlung'!AM7</f>
        <v>1570</v>
      </c>
      <c r="X7" s="71">
        <f ca="1">-'Steuerliche Gewinnermittlung'!AY7</f>
        <v>0</v>
      </c>
      <c r="Y7" s="69">
        <f ca="1">V7+W7+X7</f>
        <v>1570</v>
      </c>
      <c r="Z7" s="69">
        <f ca="1">Y7</f>
        <v>1570</v>
      </c>
    </row>
    <row r="8" spans="1:27">
      <c r="A8" s="123">
        <f>DATE(YEAR(Eingabe!E12),1,1)</f>
        <v>44197</v>
      </c>
      <c r="B8" s="179">
        <f>Eingabe!E18*Eingabe!E16</f>
        <v>6890</v>
      </c>
      <c r="C8" s="180">
        <f>B8*Eingabe!$E$34*Eingabe!$E$23</f>
        <v>496.08</v>
      </c>
      <c r="D8" s="181"/>
      <c r="E8" s="180">
        <f>Eingabe!E25</f>
        <v>0.28179999999999999</v>
      </c>
      <c r="F8" s="180">
        <f>B8*Eingabe!$E$35*Liquiditätsvorschau!E8</f>
        <v>388.32039999999995</v>
      </c>
      <c r="G8" s="180">
        <f>'Darlehen 1'!B19+'Darlehen 2'!B19+'Darlehen 3'!B19</f>
        <v>9999</v>
      </c>
      <c r="H8" s="71">
        <f>C8+F8+G8</f>
        <v>10883.4004</v>
      </c>
      <c r="I8" s="61">
        <f>'Absetzung für Abnutzung'!E6</f>
        <v>13500</v>
      </c>
      <c r="J8" s="59">
        <f>IF(Eingabe!$E$48="Nein",Eingabe!E39*'Absetzung für Abnutzung'!$J$8/12,IF(Eingabe!$E$48="Ja",(Eingabe!E39*'Absetzung für Abnutzung'!$J$8/12)*1.19,0))</f>
        <v>166.66666666666666</v>
      </c>
      <c r="K8" s="59">
        <f>IF(Eingabe!$E$48="Nein",Eingabe!E40*'Absetzung für Abnutzung'!$J$8/12,IF(Eingabe!$E$48="Ja",(Eingabe!E40*'Absetzung für Abnutzung'!$J$8/12)*1.19,0))</f>
        <v>66.666666666666671</v>
      </c>
      <c r="L8" s="59">
        <f>IF(Eingabe!$E$48="Nein",Eingabe!E41*'Absetzung für Abnutzung'!$J$8/12,IF(Eingabe!$E$48="Ja",(Eingabe!E41*'Absetzung für Abnutzung'!$J$8/12)*1.19,0))</f>
        <v>20</v>
      </c>
      <c r="M8" s="59">
        <f>IF(Eingabe!$E$48="Nein",Eingabe!E42*'Absetzung für Abnutzung'!$J$8/12,IF(Eingabe!$E$48="Ja",(Eingabe!E42*'Absetzung für Abnutzung'!$J$8/12)*1.19,0))</f>
        <v>33.333333333333336</v>
      </c>
      <c r="N8" s="59">
        <f>IF(Eingabe!$E$48="Nein",Eingabe!E43*'Absetzung für Abnutzung'!$J$8/12,IF(Eingabe!$E$48="Ja",(Eingabe!E43*'Absetzung für Abnutzung'!$J$8/12)*1.19,0))</f>
        <v>6.666666666666667</v>
      </c>
      <c r="O8" s="59">
        <f>'Absetzung für Abnutzung'!D14</f>
        <v>270</v>
      </c>
      <c r="P8" s="59">
        <f>'Absetzung für Abnutzung'!E14</f>
        <v>1620</v>
      </c>
      <c r="Q8" s="59">
        <f>'Absetzung für Abnutzung'!E7</f>
        <v>5400</v>
      </c>
      <c r="R8" s="59">
        <f>IF(ISBLANK(R7),"",-R7)</f>
        <v>5400</v>
      </c>
      <c r="S8" s="60">
        <f>'Steuerliche Gewinnermittlung'!R8</f>
        <v>62.000736134453781</v>
      </c>
      <c r="T8" s="60">
        <f ca="1">'Darlehen 1'!J20+'Darlehen 2'!J20+'Darlehen 3'!J20</f>
        <v>244.88801131888783</v>
      </c>
      <c r="U8" s="61">
        <f ca="1">-Konten!D8</f>
        <v>0</v>
      </c>
      <c r="V8" s="69">
        <f ca="1">C8+F8+G8-I8-J8-K8-L8-M8-N8-S8-T8-U8</f>
        <v>-3216.8216807866743</v>
      </c>
      <c r="W8" s="70">
        <f ca="1">-'Steuerliche Gewinnermittlung'!AM8</f>
        <v>491</v>
      </c>
      <c r="X8" s="71">
        <f ca="1">-'Steuerliche Gewinnermittlung'!AY8</f>
        <v>0</v>
      </c>
      <c r="Y8" s="69">
        <f t="shared" ref="Y8:Y38" ca="1" si="0">V8+W8+X8</f>
        <v>-2725.8216807866743</v>
      </c>
      <c r="Z8" s="69">
        <f ca="1">Y8</f>
        <v>-2725.8216807866743</v>
      </c>
    </row>
    <row r="9" spans="1:27">
      <c r="A9" s="123">
        <f>EDATE(A8,12)</f>
        <v>44562</v>
      </c>
      <c r="B9" s="179">
        <f>Eingabe!E17*Eingabe!E16*(1-Eingabe!E19)</f>
        <v>9701.25</v>
      </c>
      <c r="C9" s="180">
        <f>B9*Eingabe!$E$34*Eingabe!$E$23</f>
        <v>698.49</v>
      </c>
      <c r="D9" s="181"/>
      <c r="E9" s="180">
        <f>E8*(1+Eingabe!$E$30)</f>
        <v>0.28602699999999998</v>
      </c>
      <c r="F9" s="180">
        <f>B9*Eingabe!$E$35*Liquiditätsvorschau!E9</f>
        <v>554.9638867499998</v>
      </c>
      <c r="G9" s="181"/>
      <c r="H9" s="71">
        <f t="shared" ref="H9:H38" si="1">C9+F9+G9</f>
        <v>1253.4538867499998</v>
      </c>
      <c r="I9" s="138"/>
      <c r="J9" s="59">
        <f>IF(Eingabe!$E$48="Nein",Eingabe!E39*(1+Eingabe!$E$29),IF(Eingabe!$E$48="Ja",(Eingabe!E39*(1+Eingabe!$E$29))*1.19,0))</f>
        <v>253.74999999999997</v>
      </c>
      <c r="K9" s="59">
        <f>IF(Eingabe!$E$48="Nein",Eingabe!E40*(1+Eingabe!$E$29),IF(Eingabe!$E$48="Ja",(Eingabe!E40*(1+Eingabe!$E$29))*1.19,0))</f>
        <v>101.49999999999999</v>
      </c>
      <c r="L9" s="59">
        <f>IF(Eingabe!$E$48="Nein",Eingabe!E41*(1+Eingabe!$E$29),IF(Eingabe!$E$48="Ja",(Eingabe!E41*(1+Eingabe!$E$29))*1.19,0))</f>
        <v>30.449999999999996</v>
      </c>
      <c r="M9" s="59">
        <f>IF(Eingabe!$E$48="Nein",Eingabe!E42*(1+Eingabe!$E$29),IF(Eingabe!$E$48="Ja",(Eingabe!E42*(1+Eingabe!$E$29))*1.19,0))</f>
        <v>50.749999999999993</v>
      </c>
      <c r="N9" s="59">
        <f>IF(Eingabe!$E$48="Nein",Eingabe!E43*(1+Eingabe!$E$29),IF(Eingabe!$E$48="Ja",(Eingabe!E43*(1+Eingabe!$E$29))*1.19,0))</f>
        <v>10.149999999999999</v>
      </c>
      <c r="O9" s="59">
        <f>'Absetzung für Abnutzung'!D15</f>
        <v>405</v>
      </c>
      <c r="P9" s="59">
        <f>'Absetzung für Abnutzung'!E15</f>
        <v>0</v>
      </c>
      <c r="Q9" s="136"/>
      <c r="R9" s="136"/>
      <c r="S9" s="60">
        <f>'Steuerliche Gewinnermittlung'!R9</f>
        <v>88.607679397058803</v>
      </c>
      <c r="T9" s="60">
        <f ca="1">'Darlehen 1'!J21+'Darlehen 2'!J21+'Darlehen 3'!J21</f>
        <v>865.29491001859037</v>
      </c>
      <c r="U9" s="61">
        <f ca="1">-Konten!D9</f>
        <v>0</v>
      </c>
      <c r="V9" s="69">
        <f t="shared" ref="V9:V38" ca="1" si="2">C9+F9+G9-I9-J9-K9-L9-M9-N9-S9-T9-U9</f>
        <v>-147.04870266564944</v>
      </c>
      <c r="W9" s="70">
        <f ca="1">-'Steuerliche Gewinnermittlung'!AM9</f>
        <v>25</v>
      </c>
      <c r="X9" s="71">
        <f ca="1">-'Steuerliche Gewinnermittlung'!AY9</f>
        <v>0</v>
      </c>
      <c r="Y9" s="69">
        <f t="shared" ca="1" si="0"/>
        <v>-122.04870266564944</v>
      </c>
      <c r="Z9" s="69">
        <f ca="1">Y9/(1+Eingabe!$E$75)^1</f>
        <v>-119.65559084867593</v>
      </c>
    </row>
    <row r="10" spans="1:27">
      <c r="A10" s="123">
        <f t="shared" ref="A10:A38" si="3">EDATE(A9,12)</f>
        <v>44927</v>
      </c>
      <c r="B10" s="179">
        <f>B9*(1-Eingabe!$E$19)</f>
        <v>9652.7437499999996</v>
      </c>
      <c r="C10" s="180">
        <f>B10*Eingabe!$E$34*Eingabe!$E$23</f>
        <v>694.99754999999993</v>
      </c>
      <c r="D10" s="181"/>
      <c r="E10" s="180">
        <f>E9*(1+Eingabe!$E$30)</f>
        <v>0.29031740499999997</v>
      </c>
      <c r="F10" s="180">
        <f>B10*Eingabe!$E$35*Liquiditätsvorschau!E10</f>
        <v>560.47190332599359</v>
      </c>
      <c r="G10" s="181"/>
      <c r="H10" s="71">
        <f t="shared" si="1"/>
        <v>1255.4694533259935</v>
      </c>
      <c r="I10" s="138"/>
      <c r="J10" s="59">
        <f>J9*(1+Eingabe!$E$29)</f>
        <v>257.55624999999992</v>
      </c>
      <c r="K10" s="59">
        <f>K9*(1+Eingabe!$E$29)</f>
        <v>103.02249999999998</v>
      </c>
      <c r="L10" s="59">
        <f>L9*(1+Eingabe!$E$29)</f>
        <v>30.906749999999992</v>
      </c>
      <c r="M10" s="59">
        <f>M9*(1+Eingabe!$E$29)</f>
        <v>51.51124999999999</v>
      </c>
      <c r="N10" s="59">
        <f>N9*(1+Eingabe!$E$29)</f>
        <v>10.302249999999997</v>
      </c>
      <c r="O10" s="59">
        <f>'Absetzung für Abnutzung'!D16</f>
        <v>405</v>
      </c>
      <c r="P10" s="59">
        <f>'Absetzung für Abnutzung'!E16</f>
        <v>0</v>
      </c>
      <c r="Q10" s="136"/>
      <c r="R10" s="136"/>
      <c r="S10" s="60">
        <f>'Steuerliche Gewinnermittlung'!R10</f>
        <v>89.487110615074613</v>
      </c>
      <c r="T10" s="60">
        <f ca="1">'Darlehen 1'!J22+'Darlehen 2'!J22+'Darlehen 3'!J22</f>
        <v>858.27806791332716</v>
      </c>
      <c r="U10" s="61">
        <f ca="1">-Konten!D10</f>
        <v>0</v>
      </c>
      <c r="V10" s="69">
        <f t="shared" ca="1" si="2"/>
        <v>-145.59472520240809</v>
      </c>
      <c r="W10" s="70">
        <f ca="1">-'Steuerliche Gewinnermittlung'!AM10</f>
        <v>24</v>
      </c>
      <c r="X10" s="71">
        <f ca="1">-'Steuerliche Gewinnermittlung'!AY10</f>
        <v>0</v>
      </c>
      <c r="Y10" s="69">
        <f t="shared" ca="1" si="0"/>
        <v>-121.59472520240809</v>
      </c>
      <c r="Z10" s="69">
        <f ca="1">Y10/(1+Eingabe!$E$75)^2</f>
        <v>-116.87305382776633</v>
      </c>
    </row>
    <row r="11" spans="1:27">
      <c r="A11" s="123">
        <f t="shared" si="3"/>
        <v>45292</v>
      </c>
      <c r="B11" s="179">
        <f>B10*(1-Eingabe!$E$19)</f>
        <v>9604.4800312499992</v>
      </c>
      <c r="C11" s="180">
        <f>B11*Eingabe!$E$34*Eingabe!$E$23</f>
        <v>691.52256224999996</v>
      </c>
      <c r="D11" s="181"/>
      <c r="E11" s="180">
        <f>E10*(1+Eingabe!$E$30)</f>
        <v>0.29467216607499996</v>
      </c>
      <c r="F11" s="180">
        <f>B11*Eingabe!$E$35*Liquiditätsvorschau!E11</f>
        <v>566.03458696650398</v>
      </c>
      <c r="G11" s="181"/>
      <c r="H11" s="71">
        <f t="shared" si="1"/>
        <v>1257.5571492165041</v>
      </c>
      <c r="I11" s="138"/>
      <c r="J11" s="59">
        <f>J10*(1+Eingabe!$E$29)</f>
        <v>261.41959374999988</v>
      </c>
      <c r="K11" s="59">
        <f>K10*(1+Eingabe!$E$29)</f>
        <v>104.56783749999997</v>
      </c>
      <c r="L11" s="59">
        <f>L10*(1+Eingabe!$E$29)</f>
        <v>31.370351249999988</v>
      </c>
      <c r="M11" s="59">
        <f>M10*(1+Eingabe!$E$29)</f>
        <v>52.283918749999984</v>
      </c>
      <c r="N11" s="59">
        <f>N10*(1+Eingabe!$E$29)</f>
        <v>10.456783749999996</v>
      </c>
      <c r="O11" s="59">
        <f>'Absetzung für Abnutzung'!D17</f>
        <v>405</v>
      </c>
      <c r="P11" s="59">
        <f>'Absetzung für Abnutzung'!E17</f>
        <v>0</v>
      </c>
      <c r="Q11" s="136"/>
      <c r="R11" s="136"/>
      <c r="S11" s="60">
        <f>'Steuerliche Gewinnermittlung'!R11</f>
        <v>90.375270187929218</v>
      </c>
      <c r="T11" s="60">
        <f ca="1">'Darlehen 1'!J23+'Darlehen 2'!J23+'Darlehen 3'!J23</f>
        <v>851.26122580806384</v>
      </c>
      <c r="U11" s="61">
        <f ca="1">-Konten!D11</f>
        <v>0</v>
      </c>
      <c r="V11" s="69">
        <f t="shared" ca="1" si="2"/>
        <v>-144.17783177948888</v>
      </c>
      <c r="W11" s="70">
        <f ca="1">-'Steuerliche Gewinnermittlung'!AM11</f>
        <v>24</v>
      </c>
      <c r="X11" s="71">
        <f ca="1">-'Steuerliche Gewinnermittlung'!AY11</f>
        <v>0</v>
      </c>
      <c r="Y11" s="69">
        <f t="shared" ca="1" si="0"/>
        <v>-120.17783177948888</v>
      </c>
      <c r="Z11" s="69">
        <f ca="1">Y11/(1+Eingabe!$E$75)^3</f>
        <v>-113.24625500324997</v>
      </c>
    </row>
    <row r="12" spans="1:27">
      <c r="A12" s="123">
        <f t="shared" si="3"/>
        <v>45658</v>
      </c>
      <c r="B12" s="179">
        <f>B11*(1-Eingabe!$E$19)</f>
        <v>9556.45763109375</v>
      </c>
      <c r="C12" s="180">
        <f>B12*Eingabe!$E$34*Eingabe!$E$23</f>
        <v>688.06494943874998</v>
      </c>
      <c r="D12" s="181"/>
      <c r="E12" s="180">
        <f>E11*(1+Eingabe!$E$30)</f>
        <v>0.29909224856612493</v>
      </c>
      <c r="F12" s="180">
        <f>B12*Eingabe!$E$35*Liquiditätsvorschau!E12</f>
        <v>571.65248024214657</v>
      </c>
      <c r="G12" s="181"/>
      <c r="H12" s="71">
        <f t="shared" si="1"/>
        <v>1259.7174296808967</v>
      </c>
      <c r="I12" s="138"/>
      <c r="J12" s="59">
        <f>J11*(1+Eingabe!$E$29)</f>
        <v>265.34088765624983</v>
      </c>
      <c r="K12" s="59">
        <f>K11*(1+Eingabe!$E$29)</f>
        <v>106.13635506249996</v>
      </c>
      <c r="L12" s="59">
        <f>L11*(1+Eingabe!$E$29)</f>
        <v>31.840906518749986</v>
      </c>
      <c r="M12" s="59">
        <f>M11*(1+Eingabe!$E$29)</f>
        <v>53.068177531249979</v>
      </c>
      <c r="N12" s="59">
        <f>N11*(1+Eingabe!$E$29)</f>
        <v>10.613635506249995</v>
      </c>
      <c r="O12" s="59">
        <f>'Absetzung für Abnutzung'!D18</f>
        <v>405</v>
      </c>
      <c r="P12" s="59">
        <f>'Absetzung für Abnutzung'!E18</f>
        <v>0</v>
      </c>
      <c r="Q12" s="136"/>
      <c r="R12" s="136"/>
      <c r="S12" s="60">
        <f>'Steuerliche Gewinnermittlung'!R12</f>
        <v>91.272244744544423</v>
      </c>
      <c r="T12" s="60">
        <f ca="1">'Darlehen 1'!J24+'Darlehen 2'!J24+'Darlehen 3'!J24</f>
        <v>844.24438370280075</v>
      </c>
      <c r="U12" s="61">
        <f ca="1">-Konten!D12</f>
        <v>0</v>
      </c>
      <c r="V12" s="69">
        <f t="shared" ca="1" si="2"/>
        <v>-142.79916104144831</v>
      </c>
      <c r="W12" s="70">
        <f ca="1">-'Steuerliche Gewinnermittlung'!AM12</f>
        <v>23</v>
      </c>
      <c r="X12" s="71">
        <f ca="1">-'Steuerliche Gewinnermittlung'!AY12</f>
        <v>0</v>
      </c>
      <c r="Y12" s="69">
        <f t="shared" ca="1" si="0"/>
        <v>-119.79916104144831</v>
      </c>
      <c r="Z12" s="69">
        <f ca="1">Y12/(1+Eingabe!$E$75)^4</f>
        <v>-110.6759069699558</v>
      </c>
    </row>
    <row r="13" spans="1:27">
      <c r="A13" s="123">
        <f t="shared" si="3"/>
        <v>46023</v>
      </c>
      <c r="B13" s="179">
        <f>B12*(1-Eingabe!$E$19)</f>
        <v>9508.6753429382807</v>
      </c>
      <c r="C13" s="180">
        <f>B13*Eingabe!$E$34*Eingabe!$E$23</f>
        <v>684.62462469155628</v>
      </c>
      <c r="D13" s="181"/>
      <c r="E13" s="180">
        <f>E12*(1+Eingabe!$E$30)</f>
        <v>0.30357863229461679</v>
      </c>
      <c r="F13" s="180">
        <f>B13*Eingabe!$E$35*Liquiditätsvorschau!E13</f>
        <v>577.3261311085497</v>
      </c>
      <c r="G13" s="181"/>
      <c r="H13" s="71">
        <f t="shared" si="1"/>
        <v>1261.950755800106</v>
      </c>
      <c r="I13" s="138"/>
      <c r="J13" s="59">
        <f>J12*(1+Eingabe!$E$29)</f>
        <v>269.32100097109355</v>
      </c>
      <c r="K13" s="59">
        <f>K12*(1+Eingabe!$E$29)</f>
        <v>107.72840038843745</v>
      </c>
      <c r="L13" s="59">
        <f>L12*(1+Eingabe!$E$29)</f>
        <v>32.318520116531232</v>
      </c>
      <c r="M13" s="59">
        <f>M12*(1+Eingabe!$E$29)</f>
        <v>53.864200194218725</v>
      </c>
      <c r="N13" s="59">
        <f>N12*(1+Eingabe!$E$29)</f>
        <v>10.772840038843745</v>
      </c>
      <c r="O13" s="59">
        <f>'Absetzung für Abnutzung'!D19</f>
        <v>299.3478260869565</v>
      </c>
      <c r="P13" s="59">
        <f>'Absetzung für Abnutzung'!E19</f>
        <v>0</v>
      </c>
      <c r="Q13" s="136"/>
      <c r="R13" s="136"/>
      <c r="S13" s="60">
        <f>'Steuerliche Gewinnermittlung'!R13</f>
        <v>92.17812177363399</v>
      </c>
      <c r="T13" s="60">
        <f ca="1">'Darlehen 1'!J25+'Darlehen 2'!J25+'Darlehen 3'!J25</f>
        <v>837.22754159753765</v>
      </c>
      <c r="U13" s="61">
        <f ca="1">-Konten!D13</f>
        <v>0</v>
      </c>
      <c r="V13" s="69">
        <f t="shared" ca="1" si="2"/>
        <v>-141.45986928019022</v>
      </c>
      <c r="W13" s="70">
        <f ca="1">-'Steuerliche Gewinnermittlung'!AM13</f>
        <v>-9</v>
      </c>
      <c r="X13" s="71">
        <f ca="1">-'Steuerliche Gewinnermittlung'!AY13</f>
        <v>0</v>
      </c>
      <c r="Y13" s="69">
        <f t="shared" ca="1" si="0"/>
        <v>-150.45986928019022</v>
      </c>
      <c r="Z13" s="69">
        <f ca="1">Y13/(1+Eingabe!$E$75)^5</f>
        <v>-136.27613925004997</v>
      </c>
    </row>
    <row r="14" spans="1:27">
      <c r="A14" s="123">
        <f t="shared" si="3"/>
        <v>46388</v>
      </c>
      <c r="B14" s="179">
        <f>B13*(1-Eingabe!$E$19)</f>
        <v>9461.1319662235892</v>
      </c>
      <c r="C14" s="180">
        <f>B14*Eingabe!$E$34*Eingabe!$E$23</f>
        <v>681.20150156809837</v>
      </c>
      <c r="D14" s="181"/>
      <c r="E14" s="180">
        <f>E13*(1+Eingabe!$E$30)</f>
        <v>0.30813231177903599</v>
      </c>
      <c r="F14" s="180">
        <f>B14*Eingabe!$E$35*Liquiditätsvorschau!E14</f>
        <v>583.05609295980207</v>
      </c>
      <c r="G14" s="181"/>
      <c r="H14" s="71">
        <f t="shared" si="1"/>
        <v>1264.2575945279004</v>
      </c>
      <c r="I14" s="138"/>
      <c r="J14" s="59">
        <f>J13*(1+Eingabe!$E$29)</f>
        <v>273.36081598565994</v>
      </c>
      <c r="K14" s="59">
        <f>K13*(1+Eingabe!$E$29)</f>
        <v>109.344326394264</v>
      </c>
      <c r="L14" s="59">
        <f>L13*(1+Eingabe!$E$29)</f>
        <v>32.803297918279199</v>
      </c>
      <c r="M14" s="59">
        <f>M13*(1+Eingabe!$E$29)</f>
        <v>54.672163197132001</v>
      </c>
      <c r="N14" s="59">
        <f>N13*(1+Eingabe!$E$29)</f>
        <v>10.934432639426399</v>
      </c>
      <c r="O14" s="59">
        <f>'Absetzung für Abnutzung'!D20</f>
        <v>299.3478260869565</v>
      </c>
      <c r="P14" s="59">
        <f>'Absetzung für Abnutzung'!E20</f>
        <v>0</v>
      </c>
      <c r="Q14" s="136"/>
      <c r="R14" s="136"/>
      <c r="S14" s="60">
        <f>'Steuerliche Gewinnermittlung'!R14</f>
        <v>93.092989632237305</v>
      </c>
      <c r="T14" s="60">
        <f ca="1">'Darlehen 1'!J26+'Darlehen 2'!J26+'Darlehen 3'!J26</f>
        <v>830.21069949227444</v>
      </c>
      <c r="U14" s="61">
        <f ca="1">-Konten!D14</f>
        <v>0</v>
      </c>
      <c r="V14" s="69">
        <f t="shared" ca="1" si="2"/>
        <v>-140.16113073137285</v>
      </c>
      <c r="W14" s="70">
        <f ca="1">-'Steuerliche Gewinnermittlung'!AM14</f>
        <v>-10</v>
      </c>
      <c r="X14" s="71">
        <f ca="1">-'Steuerliche Gewinnermittlung'!AY14</f>
        <v>0</v>
      </c>
      <c r="Y14" s="69">
        <f t="shared" ca="1" si="0"/>
        <v>-150.16113073137285</v>
      </c>
      <c r="Z14" s="69">
        <f ca="1">Y14/(1+Eingabe!$E$75)^6</f>
        <v>-133.33878680617863</v>
      </c>
    </row>
    <row r="15" spans="1:27">
      <c r="A15" s="123">
        <f t="shared" si="3"/>
        <v>46753</v>
      </c>
      <c r="B15" s="179">
        <f>B14*(1-Eingabe!$E$19)</f>
        <v>9413.8263063924715</v>
      </c>
      <c r="C15" s="180">
        <f>B15*Eingabe!$E$34*Eingabe!$E$23</f>
        <v>677.79549406025797</v>
      </c>
      <c r="D15" s="181"/>
      <c r="E15" s="180">
        <f>E14*(1+Eingabe!$E$30)</f>
        <v>0.3127542964557215</v>
      </c>
      <c r="F15" s="180">
        <f>B15*Eingabe!$E$35*Liquiditätsvorschau!E15</f>
        <v>588.84292468242802</v>
      </c>
      <c r="G15" s="181"/>
      <c r="H15" s="71">
        <f t="shared" si="1"/>
        <v>1266.6384187426861</v>
      </c>
      <c r="I15" s="138"/>
      <c r="J15" s="59">
        <f>J14*(1+Eingabe!$E$29)</f>
        <v>277.46122822544481</v>
      </c>
      <c r="K15" s="59">
        <f>K14*(1+Eingabe!$E$29)</f>
        <v>110.98449129017796</v>
      </c>
      <c r="L15" s="59">
        <f>L14*(1+Eingabe!$E$29)</f>
        <v>33.295347387053383</v>
      </c>
      <c r="M15" s="59">
        <f>M14*(1+Eingabe!$E$29)</f>
        <v>55.492245645088978</v>
      </c>
      <c r="N15" s="59">
        <f>N14*(1+Eingabe!$E$29)</f>
        <v>11.098449129017794</v>
      </c>
      <c r="O15" s="59">
        <f>'Absetzung für Abnutzung'!D21</f>
        <v>299.3478260869565</v>
      </c>
      <c r="P15" s="59">
        <f>'Absetzung für Abnutzung'!E21</f>
        <v>0</v>
      </c>
      <c r="Q15" s="136"/>
      <c r="R15" s="136"/>
      <c r="S15" s="60">
        <f>'Steuerliche Gewinnermittlung'!R15</f>
        <v>94.016937554337247</v>
      </c>
      <c r="T15" s="60">
        <f ca="1">'Darlehen 1'!J27+'Darlehen 2'!J27+'Darlehen 3'!J27</f>
        <v>823.19385738701124</v>
      </c>
      <c r="U15" s="61">
        <f ca="1">-Konten!D15</f>
        <v>0</v>
      </c>
      <c r="V15" s="69">
        <f t="shared" ca="1" si="2"/>
        <v>-138.90413787544526</v>
      </c>
      <c r="W15" s="70">
        <f ca="1">-'Steuerliche Gewinnermittlung'!AM15</f>
        <v>-11</v>
      </c>
      <c r="X15" s="71">
        <f ca="1">-'Steuerliche Gewinnermittlung'!AY15</f>
        <v>0</v>
      </c>
      <c r="Y15" s="69">
        <f t="shared" ca="1" si="0"/>
        <v>-149.90413787544526</v>
      </c>
      <c r="Z15" s="69">
        <f ca="1">Y15/(1+Eingabe!$E$75)^7</f>
        <v>-130.50057304381241</v>
      </c>
    </row>
    <row r="16" spans="1:27">
      <c r="A16" s="123">
        <f t="shared" si="3"/>
        <v>47119</v>
      </c>
      <c r="B16" s="179">
        <f>B15*(1-Eingabe!$E$19)</f>
        <v>9366.7571748605096</v>
      </c>
      <c r="C16" s="180">
        <f>B16*Eingabe!$E$34*Eingabe!$E$23</f>
        <v>674.40651658995671</v>
      </c>
      <c r="D16" s="181"/>
      <c r="E16" s="180">
        <f>E15*(1+Eingabe!$E$30)</f>
        <v>0.3174456109025573</v>
      </c>
      <c r="F16" s="180">
        <f>B16*Eingabe!$E$35*Liquiditätsvorschau!E16</f>
        <v>594.68719070990107</v>
      </c>
      <c r="G16" s="181"/>
      <c r="H16" s="71">
        <f t="shared" si="1"/>
        <v>1269.0937072998577</v>
      </c>
      <c r="I16" s="138"/>
      <c r="J16" s="59">
        <f>J15*(1+Eingabe!$E$29)</f>
        <v>281.62314664882643</v>
      </c>
      <c r="K16" s="59">
        <f>K15*(1+Eingabe!$E$29)</f>
        <v>112.64925865953062</v>
      </c>
      <c r="L16" s="59">
        <f>L15*(1+Eingabe!$E$29)</f>
        <v>33.794777597859181</v>
      </c>
      <c r="M16" s="59">
        <f>M15*(1+Eingabe!$E$29)</f>
        <v>56.324629329765308</v>
      </c>
      <c r="N16" s="59">
        <f>N15*(1+Eingabe!$E$29)</f>
        <v>11.26492586595306</v>
      </c>
      <c r="O16" s="59">
        <f>'Absetzung für Abnutzung'!D22</f>
        <v>299.3478260869565</v>
      </c>
      <c r="P16" s="59">
        <f>'Absetzung für Abnutzung'!E22</f>
        <v>0</v>
      </c>
      <c r="Q16" s="136"/>
      <c r="R16" s="136"/>
      <c r="S16" s="60">
        <f>'Steuerliche Gewinnermittlung'!R16</f>
        <v>94.950055659564043</v>
      </c>
      <c r="T16" s="60">
        <f ca="1">'Darlehen 1'!J28+'Darlehen 2'!J28+'Darlehen 3'!J28</f>
        <v>816.17701528174814</v>
      </c>
      <c r="U16" s="61">
        <f ca="1">-Konten!D16</f>
        <v>0</v>
      </c>
      <c r="V16" s="69">
        <f t="shared" ca="1" si="2"/>
        <v>-137.69010174338894</v>
      </c>
      <c r="W16" s="70">
        <f ca="1">-'Steuerliche Gewinnermittlung'!AM16</f>
        <v>-12</v>
      </c>
      <c r="X16" s="71">
        <f ca="1">-'Steuerliche Gewinnermittlung'!AY16</f>
        <v>0</v>
      </c>
      <c r="Y16" s="69">
        <f t="shared" ca="1" si="0"/>
        <v>-149.69010174338894</v>
      </c>
      <c r="Z16" s="69">
        <f ca="1">Y16/(1+Eingabe!$E$75)^8</f>
        <v>-127.7590605004506</v>
      </c>
    </row>
    <row r="17" spans="1:26">
      <c r="A17" s="123">
        <f t="shared" si="3"/>
        <v>47484</v>
      </c>
      <c r="B17" s="179">
        <f>B16*(1-Eingabe!$E$19)</f>
        <v>9319.9233889862062</v>
      </c>
      <c r="C17" s="180">
        <f>B17*Eingabe!$E$34*Eingabe!$E$23</f>
        <v>671.03448400700688</v>
      </c>
      <c r="D17" s="181"/>
      <c r="E17" s="180">
        <f>E16*(1+Eingabe!$E$30)</f>
        <v>0.32220729506609563</v>
      </c>
      <c r="F17" s="180">
        <f>B17*Eingabe!$E$35*Liquiditätsvorschau!E17</f>
        <v>600.5894610776968</v>
      </c>
      <c r="G17" s="181"/>
      <c r="H17" s="71">
        <f t="shared" si="1"/>
        <v>1271.6239450847038</v>
      </c>
      <c r="I17" s="138"/>
      <c r="J17" s="59">
        <f>J16*(1+Eingabe!$E$29)</f>
        <v>285.84749384855883</v>
      </c>
      <c r="K17" s="59">
        <f>K16*(1+Eingabe!$E$29)</f>
        <v>114.33899753942356</v>
      </c>
      <c r="L17" s="59">
        <f>L16*(1+Eingabe!$E$29)</f>
        <v>34.301699261827068</v>
      </c>
      <c r="M17" s="59">
        <f>M16*(1+Eingabe!$E$29)</f>
        <v>57.16949876971178</v>
      </c>
      <c r="N17" s="59">
        <f>N16*(1+Eingabe!$E$29)</f>
        <v>11.433899753942356</v>
      </c>
      <c r="O17" s="59">
        <f>'Absetzung für Abnutzung'!D23</f>
        <v>299.3478260869565</v>
      </c>
      <c r="P17" s="59">
        <f>'Absetzung für Abnutzung'!E23</f>
        <v>0</v>
      </c>
      <c r="Q17" s="136"/>
      <c r="R17" s="136"/>
      <c r="S17" s="60">
        <f>'Steuerliche Gewinnermittlung'!R17</f>
        <v>95.892434961985202</v>
      </c>
      <c r="T17" s="60">
        <f ca="1">'Darlehen 1'!J29+'Darlehen 2'!J29+'Darlehen 3'!J29</f>
        <v>809.16017317648493</v>
      </c>
      <c r="U17" s="61">
        <f ca="1">-Konten!D17</f>
        <v>0</v>
      </c>
      <c r="V17" s="69">
        <f t="shared" ca="1" si="2"/>
        <v>-136.52025222722978</v>
      </c>
      <c r="W17" s="70">
        <f ca="1">-'Steuerliche Gewinnermittlung'!AM17</f>
        <v>-12</v>
      </c>
      <c r="X17" s="71">
        <f ca="1">-'Steuerliche Gewinnermittlung'!AY17</f>
        <v>0</v>
      </c>
      <c r="Y17" s="69">
        <f t="shared" ca="1" si="0"/>
        <v>-148.52025222722978</v>
      </c>
      <c r="Z17" s="69">
        <f ca="1">Y17/(1+Eingabe!$E$75)^9</f>
        <v>-124.27510313986994</v>
      </c>
    </row>
    <row r="18" spans="1:26">
      <c r="A18" s="123">
        <f t="shared" si="3"/>
        <v>47849</v>
      </c>
      <c r="B18" s="179">
        <f>B17*(1-Eingabe!$E$19)</f>
        <v>9273.3237720412744</v>
      </c>
      <c r="C18" s="180">
        <f>B18*Eingabe!$E$34*Eingabe!$E$23</f>
        <v>667.67931158697183</v>
      </c>
      <c r="D18" s="181"/>
      <c r="E18" s="180">
        <f>E17*(1+Eingabe!$E$30)</f>
        <v>0.32704040449208704</v>
      </c>
      <c r="F18" s="180">
        <f>B18*Eingabe!$E$35*Liquiditätsvorschau!E18</f>
        <v>606.55031147889281</v>
      </c>
      <c r="G18" s="181"/>
      <c r="H18" s="71">
        <f t="shared" si="1"/>
        <v>1274.2296230658646</v>
      </c>
      <c r="I18" s="138"/>
      <c r="J18" s="59">
        <f>J17*(1+Eingabe!$E$29)</f>
        <v>290.13520625628718</v>
      </c>
      <c r="K18" s="59">
        <f>K17*(1+Eingabe!$E$29)</f>
        <v>116.0540825025149</v>
      </c>
      <c r="L18" s="59">
        <f>L17*(1+Eingabe!$E$29)</f>
        <v>34.816224750754472</v>
      </c>
      <c r="M18" s="59">
        <f>M17*(1+Eingabe!$E$29)</f>
        <v>58.027041251257451</v>
      </c>
      <c r="N18" s="59">
        <f>N17*(1+Eingabe!$E$29)</f>
        <v>11.605408250251489</v>
      </c>
      <c r="O18" s="59">
        <f>'Absetzung für Abnutzung'!D24</f>
        <v>299.3478260869565</v>
      </c>
      <c r="P18" s="59">
        <f>'Absetzung für Abnutzung'!E24</f>
        <v>0</v>
      </c>
      <c r="Q18" s="136"/>
      <c r="R18" s="136"/>
      <c r="S18" s="60">
        <f>'Steuerliche Gewinnermittlung'!R18</f>
        <v>96.844167378982888</v>
      </c>
      <c r="T18" s="60">
        <f ca="1">'Darlehen 1'!J30+'Darlehen 2'!J30+'Darlehen 3'!J30</f>
        <v>3601.1607594798807</v>
      </c>
      <c r="U18" s="61">
        <f ca="1">-Konten!D18</f>
        <v>197.51263962639962</v>
      </c>
      <c r="V18" s="69">
        <f t="shared" ca="1" si="2"/>
        <v>-3131.9259064304638</v>
      </c>
      <c r="W18" s="70">
        <f ca="1">-'Steuerliche Gewinnermittlung'!AM18</f>
        <v>42</v>
      </c>
      <c r="X18" s="71">
        <f ca="1">-'Steuerliche Gewinnermittlung'!AY18</f>
        <v>0</v>
      </c>
      <c r="Y18" s="69">
        <f t="shared" ca="1" si="0"/>
        <v>-3089.9259064304638</v>
      </c>
      <c r="Z18" s="69">
        <f ca="1">Y18/(1+Eingabe!$E$75)^10</f>
        <v>-2534.8154640804291</v>
      </c>
    </row>
    <row r="19" spans="1:26">
      <c r="A19" s="123">
        <f t="shared" si="3"/>
        <v>48214</v>
      </c>
      <c r="B19" s="179">
        <f>B18*(1-Eingabe!$E$19)</f>
        <v>9226.9571531810689</v>
      </c>
      <c r="C19" s="180">
        <f>B19*Eingabe!$E$34*Eingabe!$E$23</f>
        <v>664.34091502903698</v>
      </c>
      <c r="D19" s="181"/>
      <c r="E19" s="180">
        <f>E18*(1+Eingabe!$E$30)</f>
        <v>0.33194601055946832</v>
      </c>
      <c r="F19" s="180">
        <f>B19*Eingabe!$E$35*Liquiditätsvorschau!E19</f>
        <v>612.57032332032077</v>
      </c>
      <c r="G19" s="181"/>
      <c r="H19" s="71">
        <f t="shared" si="1"/>
        <v>1276.9112383493577</v>
      </c>
      <c r="I19" s="138"/>
      <c r="J19" s="59">
        <f>J18*(1+Eingabe!$E$29)</f>
        <v>294.48723435013147</v>
      </c>
      <c r="K19" s="59">
        <f>K18*(1+Eingabe!$E$29)</f>
        <v>117.79489374005261</v>
      </c>
      <c r="L19" s="59">
        <f>L18*(1+Eingabe!$E$29)</f>
        <v>35.338468122015783</v>
      </c>
      <c r="M19" s="59">
        <f>M18*(1+Eingabe!$E$29)</f>
        <v>58.897446870026307</v>
      </c>
      <c r="N19" s="59">
        <f>N18*(1+Eingabe!$E$29)</f>
        <v>11.77948937400526</v>
      </c>
      <c r="O19" s="59">
        <f>'Absetzung für Abnutzung'!D25</f>
        <v>299.3478260869565</v>
      </c>
      <c r="P19" s="59">
        <f>'Absetzung für Abnutzung'!E25</f>
        <v>0</v>
      </c>
      <c r="Q19" s="136"/>
      <c r="R19" s="136"/>
      <c r="S19" s="60">
        <f>'Steuerliche Gewinnermittlung'!R19</f>
        <v>97.805345740219281</v>
      </c>
      <c r="T19" s="60">
        <f ca="1">'Darlehen 1'!J31+'Darlehen 2'!J31+'Darlehen 3'!J31</f>
        <v>0</v>
      </c>
      <c r="U19" s="61">
        <f ca="1">-Konten!D19</f>
        <v>143.87277463295658</v>
      </c>
      <c r="V19" s="69">
        <f t="shared" ca="1" si="2"/>
        <v>516.93558551995034</v>
      </c>
      <c r="W19" s="70">
        <f ca="1">-'Steuerliche Gewinnermittlung'!AM19</f>
        <v>20</v>
      </c>
      <c r="X19" s="71">
        <f ca="1">-'Steuerliche Gewinnermittlung'!AY19</f>
        <v>0</v>
      </c>
      <c r="Y19" s="69">
        <f t="shared" ca="1" si="0"/>
        <v>536.93558551995034</v>
      </c>
      <c r="Z19" s="69">
        <f ca="1">Y19/(1+Eingabe!$E$75)^11</f>
        <v>431.83744580761021</v>
      </c>
    </row>
    <row r="20" spans="1:26">
      <c r="A20" s="123">
        <f t="shared" si="3"/>
        <v>48580</v>
      </c>
      <c r="B20" s="179">
        <f>B19*(1-Eingabe!$E$19)</f>
        <v>9180.8223674151632</v>
      </c>
      <c r="C20" s="180">
        <f>B20*Eingabe!$E$34*Eingabe!$E$23</f>
        <v>661.01921045389179</v>
      </c>
      <c r="D20" s="181"/>
      <c r="E20" s="180">
        <f>E19*(1+Eingabe!$E$30)</f>
        <v>0.33692520071786031</v>
      </c>
      <c r="F20" s="180">
        <f>B20*Eingabe!$E$35*Liquiditätsvorschau!E20</f>
        <v>618.65008377927495</v>
      </c>
      <c r="G20" s="181"/>
      <c r="H20" s="71">
        <f t="shared" si="1"/>
        <v>1279.6692942331667</v>
      </c>
      <c r="I20" s="138"/>
      <c r="J20" s="59">
        <f>J19*(1+Eingabe!$E$29)</f>
        <v>298.90454286538341</v>
      </c>
      <c r="K20" s="59">
        <f>K19*(1+Eingabe!$E$29)</f>
        <v>119.56181714615339</v>
      </c>
      <c r="L20" s="59">
        <f>L19*(1+Eingabe!$E$29)</f>
        <v>35.868545143846013</v>
      </c>
      <c r="M20" s="59">
        <f>M19*(1+Eingabe!$E$29)</f>
        <v>59.780908573076694</v>
      </c>
      <c r="N20" s="59">
        <f>N19*(1+Eingabe!$E$29)</f>
        <v>11.956181714615338</v>
      </c>
      <c r="O20" s="59">
        <f>'Absetzung für Abnutzung'!D26</f>
        <v>299.3478260869565</v>
      </c>
      <c r="P20" s="59">
        <f>'Absetzung für Abnutzung'!E26</f>
        <v>0</v>
      </c>
      <c r="Q20" s="136"/>
      <c r="R20" s="136"/>
      <c r="S20" s="60">
        <f>'Steuerliche Gewinnermittlung'!R20</f>
        <v>98.776063796690977</v>
      </c>
      <c r="T20" s="60">
        <f ca="1">'Darlehen 1'!J32+'Darlehen 2'!J32+'Darlehen 3'!J32</f>
        <v>0</v>
      </c>
      <c r="U20" s="61">
        <f ca="1">-Konten!D20</f>
        <v>86.719845858366654</v>
      </c>
      <c r="V20" s="69">
        <f t="shared" ca="1" si="2"/>
        <v>568.1013891350342</v>
      </c>
      <c r="W20" s="70">
        <f ca="1">-'Steuerliche Gewinnermittlung'!AM20</f>
        <v>4</v>
      </c>
      <c r="X20" s="71">
        <f ca="1">-'Steuerliche Gewinnermittlung'!AY20</f>
        <v>0</v>
      </c>
      <c r="Y20" s="69">
        <f t="shared" ca="1" si="0"/>
        <v>572.1013891350342</v>
      </c>
      <c r="Z20" s="69">
        <f ca="1">Y20/(1+Eingabe!$E$75)^12</f>
        <v>451.09804107376004</v>
      </c>
    </row>
    <row r="21" spans="1:26">
      <c r="A21" s="123">
        <f t="shared" si="3"/>
        <v>48945</v>
      </c>
      <c r="B21" s="179">
        <f>B20*(1-Eingabe!$E$19)</f>
        <v>9134.9182555780881</v>
      </c>
      <c r="C21" s="180">
        <f>B21*Eingabe!$E$34*Eingabe!$E$23</f>
        <v>657.7141144016224</v>
      </c>
      <c r="D21" s="181"/>
      <c r="E21" s="180">
        <f>E20*(1+Eingabe!$E$30)</f>
        <v>0.34197907872862821</v>
      </c>
      <c r="F21" s="180">
        <f>B21*Eingabe!$E$35*Liquiditätsvorschau!E21</f>
        <v>624.79018586078428</v>
      </c>
      <c r="G21" s="181"/>
      <c r="H21" s="71">
        <f t="shared" si="1"/>
        <v>1282.5043002624066</v>
      </c>
      <c r="I21" s="138"/>
      <c r="J21" s="59">
        <f>J20*(1+Eingabe!$E$29)</f>
        <v>303.38811100836415</v>
      </c>
      <c r="K21" s="59">
        <f>K20*(1+Eingabe!$E$29)</f>
        <v>121.35524440334568</v>
      </c>
      <c r="L21" s="59">
        <f>L20*(1+Eingabe!$E$29)</f>
        <v>36.406573321003698</v>
      </c>
      <c r="M21" s="59">
        <f>M20*(1+Eingabe!$E$29)</f>
        <v>60.67762220167284</v>
      </c>
      <c r="N21" s="59">
        <f>N20*(1+Eingabe!$E$29)</f>
        <v>12.135524440334567</v>
      </c>
      <c r="O21" s="59">
        <f>'Absetzung für Abnutzung'!D27</f>
        <v>299.3478260869565</v>
      </c>
      <c r="P21" s="59">
        <f>'Absetzung für Abnutzung'!E27</f>
        <v>0</v>
      </c>
      <c r="Q21" s="136"/>
      <c r="R21" s="136"/>
      <c r="S21" s="60">
        <f>'Steuerliche Gewinnermittlung'!R21</f>
        <v>99.756416229873111</v>
      </c>
      <c r="T21" s="60">
        <f ca="1">'Darlehen 1'!J33+'Darlehen 2'!J33+'Darlehen 3'!J33</f>
        <v>0</v>
      </c>
      <c r="U21" s="61">
        <f ca="1">-Konten!D21</f>
        <v>25.891393704534156</v>
      </c>
      <c r="V21" s="69">
        <f t="shared" ca="1" si="2"/>
        <v>622.89341495327824</v>
      </c>
      <c r="W21" s="70">
        <f ca="1">-'Steuerliche Gewinnermittlung'!AM21</f>
        <v>-14</v>
      </c>
      <c r="X21" s="71">
        <f ca="1">-'Steuerliche Gewinnermittlung'!AY21</f>
        <v>0</v>
      </c>
      <c r="Y21" s="69">
        <f t="shared" ca="1" si="0"/>
        <v>608.89341495327824</v>
      </c>
      <c r="Z21" s="69">
        <f ca="1">Y21/(1+Eingabe!$E$75)^13</f>
        <v>470.69441406595058</v>
      </c>
    </row>
    <row r="22" spans="1:26">
      <c r="A22" s="123">
        <f t="shared" si="3"/>
        <v>49310</v>
      </c>
      <c r="B22" s="179">
        <f>B21*(1-Eingabe!$E$19)</f>
        <v>9089.2436643001984</v>
      </c>
      <c r="C22" s="180">
        <f>B22*Eingabe!$E$34*Eingabe!$E$23</f>
        <v>654.4255438296143</v>
      </c>
      <c r="D22" s="181"/>
      <c r="E22" s="180">
        <f>E21*(1+Eingabe!$E$30)</f>
        <v>0.34710876490955761</v>
      </c>
      <c r="F22" s="180">
        <f>B22*Eingabe!$E$35*Liquiditätsvorschau!E22</f>
        <v>630.99122845545253</v>
      </c>
      <c r="G22" s="181"/>
      <c r="H22" s="71">
        <f t="shared" si="1"/>
        <v>1285.4167722850668</v>
      </c>
      <c r="I22" s="138"/>
      <c r="J22" s="59">
        <f>J21*(1+Eingabe!$E$29)</f>
        <v>307.9389326734896</v>
      </c>
      <c r="K22" s="59">
        <f>K21*(1+Eingabe!$E$29)</f>
        <v>123.17557306939585</v>
      </c>
      <c r="L22" s="59">
        <f>L21*(1+Eingabe!$E$29)</f>
        <v>36.952671920818752</v>
      </c>
      <c r="M22" s="59">
        <f>M21*(1+Eingabe!$E$29)</f>
        <v>61.587786534697926</v>
      </c>
      <c r="N22" s="59">
        <f>N21*(1+Eingabe!$E$29)</f>
        <v>12.317557306939584</v>
      </c>
      <c r="O22" s="59">
        <f>'Absetzung für Abnutzung'!D28</f>
        <v>299.3478260869565</v>
      </c>
      <c r="P22" s="59">
        <f>'Absetzung für Abnutzung'!E28</f>
        <v>0</v>
      </c>
      <c r="Q22" s="136"/>
      <c r="R22" s="136"/>
      <c r="S22" s="60">
        <f>'Steuerliche Gewinnermittlung'!R22</f>
        <v>100.74649866095461</v>
      </c>
      <c r="T22" s="60">
        <f ca="1">'Darlehen 1'!J34+'Darlehen 2'!J34+'Darlehen 3'!J34</f>
        <v>0</v>
      </c>
      <c r="U22" s="61">
        <f ca="1">-Konten!D22</f>
        <v>0</v>
      </c>
      <c r="V22" s="69">
        <f t="shared" ca="1" si="2"/>
        <v>642.6977521187705</v>
      </c>
      <c r="W22" s="70">
        <f ca="1">-'Steuerliche Gewinnermittlung'!AM22</f>
        <v>-19</v>
      </c>
      <c r="X22" s="71">
        <f ca="1">-'Steuerliche Gewinnermittlung'!AY22</f>
        <v>0</v>
      </c>
      <c r="Y22" s="69">
        <f t="shared" ca="1" si="0"/>
        <v>623.6977521187705</v>
      </c>
      <c r="Z22" s="69">
        <f ca="1">Y22/(1+Eingabe!$E$75)^14</f>
        <v>472.68494922267405</v>
      </c>
    </row>
    <row r="23" spans="1:26">
      <c r="A23" s="123">
        <f t="shared" si="3"/>
        <v>49675</v>
      </c>
      <c r="B23" s="179">
        <f>B22*(1-Eingabe!$E$19)</f>
        <v>9043.7974459786965</v>
      </c>
      <c r="C23" s="180">
        <f>B23*Eingabe!$E$34*Eingabe!$E$23</f>
        <v>651.1534161104662</v>
      </c>
      <c r="D23" s="181"/>
      <c r="E23" s="180">
        <f>E22*(1+Eingabe!$E$30)</f>
        <v>0.35231539638320092</v>
      </c>
      <c r="F23" s="180">
        <f>B23*Eingabe!$E$35*Liquiditätsvorschau!E23</f>
        <v>637.25381639787281</v>
      </c>
      <c r="G23" s="181"/>
      <c r="H23" s="71">
        <f t="shared" si="1"/>
        <v>1288.4072325083389</v>
      </c>
      <c r="I23" s="138"/>
      <c r="J23" s="59">
        <f>J22*(1+Eingabe!$E$29)</f>
        <v>312.5580166635919</v>
      </c>
      <c r="K23" s="59">
        <f>K22*(1+Eingabe!$E$29)</f>
        <v>125.02320666543677</v>
      </c>
      <c r="L23" s="59">
        <f>L22*(1+Eingabe!$E$29)</f>
        <v>37.506961999631031</v>
      </c>
      <c r="M23" s="59">
        <f>M22*(1+Eingabe!$E$29)</f>
        <v>62.511603332718387</v>
      </c>
      <c r="N23" s="59">
        <f>N22*(1+Eingabe!$E$29)</f>
        <v>12.502320666543676</v>
      </c>
      <c r="O23" s="59">
        <f>'Absetzung für Abnutzung'!D29</f>
        <v>299.3478260869565</v>
      </c>
      <c r="P23" s="59">
        <f>'Absetzung für Abnutzung'!E29</f>
        <v>0</v>
      </c>
      <c r="Q23" s="136"/>
      <c r="R23" s="136"/>
      <c r="S23" s="60">
        <f>'Steuerliche Gewinnermittlung'!R23</f>
        <v>101.74640766016456</v>
      </c>
      <c r="T23" s="60">
        <f ca="1">'Darlehen 1'!J35+'Darlehen 2'!J35+'Darlehen 3'!J35</f>
        <v>0</v>
      </c>
      <c r="U23" s="61">
        <f ca="1">-Konten!D23</f>
        <v>0</v>
      </c>
      <c r="V23" s="69">
        <f t="shared" ca="1" si="2"/>
        <v>636.55871552025258</v>
      </c>
      <c r="W23" s="70">
        <f ca="1">-'Steuerliche Gewinnermittlung'!AM23</f>
        <v>-16</v>
      </c>
      <c r="X23" s="71">
        <f ca="1">-'Steuerliche Gewinnermittlung'!AY23</f>
        <v>0</v>
      </c>
      <c r="Y23" s="69">
        <f t="shared" ca="1" si="0"/>
        <v>620.55871552025258</v>
      </c>
      <c r="Z23" s="69">
        <f ca="1">Y23/(1+Eingabe!$E$75)^15</f>
        <v>461.08426645430285</v>
      </c>
    </row>
    <row r="24" spans="1:26">
      <c r="A24" s="123">
        <f t="shared" si="3"/>
        <v>50041</v>
      </c>
      <c r="B24" s="179">
        <f>B23*(1-Eingabe!$E$19)</f>
        <v>8998.5784587488033</v>
      </c>
      <c r="C24" s="180">
        <f>B24*Eingabe!$E$34*Eingabe!$E$23</f>
        <v>647.89764902991385</v>
      </c>
      <c r="D24" s="181"/>
      <c r="E24" s="180">
        <f>E23*(1+Eingabe!$E$30)</f>
        <v>0.35760012732894891</v>
      </c>
      <c r="F24" s="180">
        <f>B24*Eingabe!$E$35*Liquiditätsvorschau!E24</f>
        <v>643.5785605256217</v>
      </c>
      <c r="G24" s="181"/>
      <c r="H24" s="71">
        <f t="shared" si="1"/>
        <v>1291.4762095555357</v>
      </c>
      <c r="I24" s="138"/>
      <c r="J24" s="59">
        <f>J23*(1+Eingabe!$E$29)</f>
        <v>317.24638691354573</v>
      </c>
      <c r="K24" s="59">
        <f>K23*(1+Eingabe!$E$29)</f>
        <v>126.89855476541831</v>
      </c>
      <c r="L24" s="59">
        <f>L23*(1+Eingabe!$E$29)</f>
        <v>38.069566429625496</v>
      </c>
      <c r="M24" s="59">
        <f>M23*(1+Eingabe!$E$29)</f>
        <v>63.449277382709155</v>
      </c>
      <c r="N24" s="59">
        <f>N23*(1+Eingabe!$E$29)</f>
        <v>12.68985547654183</v>
      </c>
      <c r="O24" s="59">
        <f>'Absetzung für Abnutzung'!D30</f>
        <v>299.3478260869565</v>
      </c>
      <c r="P24" s="59">
        <f>'Absetzung für Abnutzung'!E30</f>
        <v>0</v>
      </c>
      <c r="Q24" s="136"/>
      <c r="R24" s="136"/>
      <c r="S24" s="60">
        <f>'Steuerliche Gewinnermittlung'!R24</f>
        <v>102.7562407561917</v>
      </c>
      <c r="T24" s="60">
        <f ca="1">'Darlehen 1'!J36+'Darlehen 2'!J36+'Darlehen 3'!J36</f>
        <v>0</v>
      </c>
      <c r="U24" s="61">
        <f ca="1">-Konten!D24</f>
        <v>0</v>
      </c>
      <c r="V24" s="69">
        <f t="shared" ca="1" si="2"/>
        <v>630.36632783150333</v>
      </c>
      <c r="W24" s="70">
        <f ca="1">-'Steuerliche Gewinnermittlung'!AM24</f>
        <v>-12</v>
      </c>
      <c r="X24" s="71">
        <f ca="1">-'Steuerliche Gewinnermittlung'!AY24</f>
        <v>0</v>
      </c>
      <c r="Y24" s="69">
        <f t="shared" ca="1" si="0"/>
        <v>618.36632783150333</v>
      </c>
      <c r="Z24" s="69">
        <f ca="1">Y24/(1+Eingabe!$E$75)^16</f>
        <v>450.44636285070254</v>
      </c>
    </row>
    <row r="25" spans="1:26">
      <c r="A25" s="123">
        <f t="shared" si="3"/>
        <v>50406</v>
      </c>
      <c r="B25" s="179">
        <f>B24*(1-Eingabe!$E$19)</f>
        <v>8953.58556645506</v>
      </c>
      <c r="C25" s="180">
        <f>B25*Eingabe!$E$34*Eingabe!$E$23</f>
        <v>644.65816078476428</v>
      </c>
      <c r="D25" s="181"/>
      <c r="E25" s="180">
        <f>E24*(1+Eingabe!$E$30)</f>
        <v>0.3629641292388831</v>
      </c>
      <c r="F25" s="180">
        <f>B25*Eingabe!$E$35*Liquiditätsvorschau!E25</f>
        <v>649.96607773883841</v>
      </c>
      <c r="G25" s="181"/>
      <c r="H25" s="71">
        <f t="shared" si="1"/>
        <v>1294.6242385236028</v>
      </c>
      <c r="I25" s="138"/>
      <c r="J25" s="59">
        <f>J24*(1+Eingabe!$E$29)</f>
        <v>322.00508271724891</v>
      </c>
      <c r="K25" s="59">
        <f>K24*(1+Eingabe!$E$29)</f>
        <v>128.80203308689957</v>
      </c>
      <c r="L25" s="59">
        <f>L24*(1+Eingabe!$E$29)</f>
        <v>38.640609926069878</v>
      </c>
      <c r="M25" s="59">
        <f>M24*(1+Eingabe!$E$29)</f>
        <v>64.401016543449785</v>
      </c>
      <c r="N25" s="59">
        <f>N24*(1+Eingabe!$E$29)</f>
        <v>12.880203308689955</v>
      </c>
      <c r="O25" s="59">
        <f>'Absetzung für Abnutzung'!D31</f>
        <v>299.3478260869565</v>
      </c>
      <c r="P25" s="59">
        <f>'Absetzung für Abnutzung'!E31</f>
        <v>0</v>
      </c>
      <c r="Q25" s="136"/>
      <c r="R25" s="136"/>
      <c r="S25" s="60">
        <f>'Steuerliche Gewinnermittlung'!R25</f>
        <v>103.77609644569688</v>
      </c>
      <c r="T25" s="60">
        <f ca="1">'Darlehen 1'!J37+'Darlehen 2'!J37+'Darlehen 3'!J37</f>
        <v>0</v>
      </c>
      <c r="U25" s="61">
        <f ca="1">-Konten!D25</f>
        <v>0</v>
      </c>
      <c r="V25" s="69">
        <f t="shared" ca="1" si="2"/>
        <v>624.11919649554784</v>
      </c>
      <c r="W25" s="70">
        <f ca="1">-'Steuerliche Gewinnermittlung'!AM25</f>
        <v>-9</v>
      </c>
      <c r="X25" s="71">
        <f ca="1">-'Steuerliche Gewinnermittlung'!AY25</f>
        <v>0</v>
      </c>
      <c r="Y25" s="69">
        <f t="shared" ca="1" si="0"/>
        <v>615.11919649554784</v>
      </c>
      <c r="Z25" s="69">
        <f ca="1">Y25/(1+Eingabe!$E$75)^17</f>
        <v>439.29510159063273</v>
      </c>
    </row>
    <row r="26" spans="1:26">
      <c r="A26" s="123">
        <f t="shared" si="3"/>
        <v>50771</v>
      </c>
      <c r="B26" s="179">
        <f>B25*(1-Eingabe!$E$19)</f>
        <v>8908.8176386227842</v>
      </c>
      <c r="C26" s="180">
        <f>B26*Eingabe!$E$34*Eingabe!$E$23</f>
        <v>641.43486998084052</v>
      </c>
      <c r="D26" s="181"/>
      <c r="E26" s="180">
        <f>E25*(1+Eingabe!$E$30)</f>
        <v>0.36840859117746633</v>
      </c>
      <c r="F26" s="180">
        <f>B26*Eingabe!$E$35*Liquiditätsvorschau!E26</f>
        <v>656.4169910603963</v>
      </c>
      <c r="G26" s="181"/>
      <c r="H26" s="71">
        <f t="shared" si="1"/>
        <v>1297.8518610412368</v>
      </c>
      <c r="I26" s="138"/>
      <c r="J26" s="59">
        <f>J25*(1+Eingabe!$E$29)</f>
        <v>326.83515895800764</v>
      </c>
      <c r="K26" s="59">
        <f>K25*(1+Eingabe!$E$29)</f>
        <v>130.73406358320304</v>
      </c>
      <c r="L26" s="59">
        <f>L25*(1+Eingabe!$E$29)</f>
        <v>39.220219074960923</v>
      </c>
      <c r="M26" s="59">
        <f>M25*(1+Eingabe!$E$29)</f>
        <v>65.367031791601519</v>
      </c>
      <c r="N26" s="59">
        <f>N25*(1+Eingabe!$E$29)</f>
        <v>13.073406358320304</v>
      </c>
      <c r="O26" s="59">
        <f>'Absetzung für Abnutzung'!D32</f>
        <v>299.3478260869565</v>
      </c>
      <c r="P26" s="59">
        <f>'Absetzung für Abnutzung'!E32</f>
        <v>0</v>
      </c>
      <c r="Q26" s="136"/>
      <c r="R26" s="136"/>
      <c r="S26" s="60">
        <f>'Steuerliche Gewinnermittlung'!R26</f>
        <v>104.80607420292043</v>
      </c>
      <c r="T26" s="60">
        <f ca="1">'Darlehen 1'!J38+'Darlehen 2'!J38+'Darlehen 3'!J38</f>
        <v>0</v>
      </c>
      <c r="U26" s="61">
        <f ca="1">-Konten!D26</f>
        <v>0</v>
      </c>
      <c r="V26" s="69">
        <f t="shared" ca="1" si="2"/>
        <v>617.8159070722229</v>
      </c>
      <c r="W26" s="70">
        <f ca="1">-'Steuerliche Gewinnermittlung'!AM26</f>
        <v>-5</v>
      </c>
      <c r="X26" s="71">
        <f ca="1">-'Steuerliche Gewinnermittlung'!AY26</f>
        <v>0</v>
      </c>
      <c r="Y26" s="69">
        <f t="shared" ca="1" si="0"/>
        <v>612.8159070722229</v>
      </c>
      <c r="Z26" s="69">
        <f ca="1">Y26/(1+Eingabe!$E$75)^18</f>
        <v>429.0688024646791</v>
      </c>
    </row>
    <row r="27" spans="1:26">
      <c r="A27" s="123">
        <f t="shared" si="3"/>
        <v>51136</v>
      </c>
      <c r="B27" s="179">
        <f>B26*(1-Eingabe!$E$19)</f>
        <v>8864.2735504296706</v>
      </c>
      <c r="C27" s="180">
        <f>B27*Eingabe!$E$34*Eingabe!$E$23</f>
        <v>638.2276956309363</v>
      </c>
      <c r="D27" s="181"/>
      <c r="E27" s="180">
        <f>E26*(1+Eingabe!$E$30)</f>
        <v>0.37393472004512829</v>
      </c>
      <c r="F27" s="180">
        <f>B27*Eingabe!$E$35*Liquiditätsvorschau!E27</f>
        <v>662.93192969667064</v>
      </c>
      <c r="G27" s="181"/>
      <c r="H27" s="71">
        <f t="shared" si="1"/>
        <v>1301.159625327607</v>
      </c>
      <c r="I27" s="138"/>
      <c r="J27" s="59">
        <f>J26*(1+Eingabe!$E$29)</f>
        <v>331.73768634237774</v>
      </c>
      <c r="K27" s="59">
        <f>K26*(1+Eingabe!$E$29)</f>
        <v>132.69507453695107</v>
      </c>
      <c r="L27" s="59">
        <f>L26*(1+Eingabe!$E$29)</f>
        <v>39.80852236108533</v>
      </c>
      <c r="M27" s="59">
        <f>M26*(1+Eingabe!$E$29)</f>
        <v>66.347537268475534</v>
      </c>
      <c r="N27" s="59">
        <f>N26*(1+Eingabe!$E$29)</f>
        <v>13.269507453695107</v>
      </c>
      <c r="O27" s="59">
        <f>'Absetzung für Abnutzung'!D33</f>
        <v>299.3478260869565</v>
      </c>
      <c r="P27" s="59">
        <f>'Absetzung für Abnutzung'!E33</f>
        <v>0</v>
      </c>
      <c r="Q27" s="136"/>
      <c r="R27" s="136"/>
      <c r="S27" s="60">
        <f>'Steuerliche Gewinnermittlung'!R27</f>
        <v>105.8462744893844</v>
      </c>
      <c r="T27" s="60">
        <f ca="1">'Darlehen 1'!J39+'Darlehen 2'!J39+'Darlehen 3'!J39</f>
        <v>0</v>
      </c>
      <c r="U27" s="61">
        <f ca="1">-Konten!D27</f>
        <v>0</v>
      </c>
      <c r="V27" s="69">
        <f t="shared" ca="1" si="2"/>
        <v>611.45502287563772</v>
      </c>
      <c r="W27" s="70">
        <f ca="1">-'Steuerliche Gewinnermittlung'!AM27</f>
        <v>-2</v>
      </c>
      <c r="X27" s="71">
        <f ca="1">-'Steuerliche Gewinnermittlung'!AY27</f>
        <v>0</v>
      </c>
      <c r="Y27" s="69">
        <f t="shared" ca="1" si="0"/>
        <v>609.45502287563772</v>
      </c>
      <c r="Z27" s="69">
        <f ca="1">Y27/(1+Eingabe!$E$75)^19</f>
        <v>418.3486743983002</v>
      </c>
    </row>
    <row r="28" spans="1:26">
      <c r="A28" s="123">
        <f t="shared" si="3"/>
        <v>51502</v>
      </c>
      <c r="B28" s="179">
        <f>B27*(1-Eingabe!$E$19)</f>
        <v>8819.9521826775217</v>
      </c>
      <c r="C28" s="180">
        <f>B28*Eingabe!$E$34*Eingabe!$E$23</f>
        <v>635.0365571527816</v>
      </c>
      <c r="D28" s="181"/>
      <c r="E28" s="180">
        <f>E27*(1+Eingabe!$E$30)</f>
        <v>0.37954374084580517</v>
      </c>
      <c r="F28" s="180">
        <f>B28*Eingabe!$E$35*Liquiditätsvorschau!E28</f>
        <v>669.51152909891005</v>
      </c>
      <c r="G28" s="181"/>
      <c r="H28" s="71">
        <f t="shared" si="1"/>
        <v>1304.5480862516915</v>
      </c>
      <c r="I28" s="138"/>
      <c r="J28" s="59">
        <f>J27*(1+Eingabe!$E$29)</f>
        <v>336.71375163751338</v>
      </c>
      <c r="K28" s="59">
        <f>K27*(1+Eingabe!$E$29)</f>
        <v>134.68550065500531</v>
      </c>
      <c r="L28" s="59">
        <f>L27*(1+Eingabe!$E$29)</f>
        <v>40.405650196501604</v>
      </c>
      <c r="M28" s="59">
        <f>M27*(1+Eingabe!$E$29)</f>
        <v>67.342750327502657</v>
      </c>
      <c r="N28" s="59">
        <f>N27*(1+Eingabe!$E$29)</f>
        <v>13.468550065500532</v>
      </c>
      <c r="O28" s="59">
        <f>'Absetzung für Abnutzung'!D34</f>
        <v>99.782608695652925</v>
      </c>
      <c r="P28" s="59">
        <f>'Absetzung für Abnutzung'!E34</f>
        <v>0</v>
      </c>
      <c r="Q28" s="136"/>
      <c r="R28" s="136"/>
      <c r="S28" s="60">
        <f>'Steuerliche Gewinnermittlung'!R28</f>
        <v>106.89679876369152</v>
      </c>
      <c r="T28" s="60">
        <f ca="1">'Darlehen 1'!J40+'Darlehen 2'!J40+'Darlehen 3'!J40</f>
        <v>0</v>
      </c>
      <c r="U28" s="61">
        <f ca="1">-Konten!D28</f>
        <v>0</v>
      </c>
      <c r="V28" s="69">
        <f t="shared" ca="1" si="2"/>
        <v>605.03508460597652</v>
      </c>
      <c r="W28" s="70">
        <f ca="1">-'Steuerliche Gewinnermittlung'!AM28</f>
        <v>-41</v>
      </c>
      <c r="X28" s="71">
        <f ca="1">-'Steuerliche Gewinnermittlung'!AY28</f>
        <v>0</v>
      </c>
      <c r="Y28" s="69">
        <f t="shared" ca="1" si="0"/>
        <v>564.03508460597652</v>
      </c>
      <c r="Z28" s="69">
        <f ca="1">Y28/(1+Eingabe!$E$75)^20</f>
        <v>379.57944280700013</v>
      </c>
    </row>
    <row r="29" spans="1:26">
      <c r="A29" s="123">
        <f t="shared" si="3"/>
        <v>51867</v>
      </c>
      <c r="B29" s="179">
        <f>B28*(1-Eingabe!$E$19)</f>
        <v>8775.8524217641334</v>
      </c>
      <c r="C29" s="180">
        <f>B29*Eingabe!$E$34*D29</f>
        <v>1404.1363874822616</v>
      </c>
      <c r="D29" s="180">
        <f>Eingabe!E24</f>
        <v>0.2</v>
      </c>
      <c r="E29" s="180">
        <f>E28*(1+Eingabe!$E$30)</f>
        <v>0.38523689695849223</v>
      </c>
      <c r="F29" s="180">
        <f>B29*Eingabe!$E$35*Liquiditätsvorschau!E29</f>
        <v>676.15643102521653</v>
      </c>
      <c r="G29" s="181"/>
      <c r="H29" s="71">
        <f t="shared" si="1"/>
        <v>2080.2928185074779</v>
      </c>
      <c r="I29" s="138"/>
      <c r="J29" s="59">
        <f>J28*(1+Eingabe!$E$29)</f>
        <v>341.76445791207607</v>
      </c>
      <c r="K29" s="59">
        <f>K28*(1+Eingabe!$E$29)</f>
        <v>136.70578316483039</v>
      </c>
      <c r="L29" s="59">
        <f>L28*(1+Eingabe!$E$29)</f>
        <v>41.011734949449121</v>
      </c>
      <c r="M29" s="59">
        <f>M28*(1+Eingabe!$E$29)</f>
        <v>68.352891582415197</v>
      </c>
      <c r="N29" s="59">
        <f>N28*(1+Eingabe!$E$29)</f>
        <v>13.670578316483038</v>
      </c>
      <c r="O29" s="59">
        <f>'Absetzung für Abnutzung'!D35</f>
        <v>0</v>
      </c>
      <c r="P29" s="59">
        <f>'Absetzung für Abnutzung'!E35</f>
        <v>0</v>
      </c>
      <c r="Q29" s="136"/>
      <c r="R29" s="136"/>
      <c r="S29" s="60">
        <f>'Steuerliche Gewinnermittlung'!R29</f>
        <v>107.95774949142114</v>
      </c>
      <c r="T29" s="60">
        <f ca="1">'Darlehen 1'!J41+'Darlehen 2'!J41+'Darlehen 3'!J41</f>
        <v>0</v>
      </c>
      <c r="U29" s="61">
        <f ca="1">-Konten!D29</f>
        <v>0</v>
      </c>
      <c r="V29" s="69">
        <f t="shared" ca="1" si="2"/>
        <v>1370.8296230908031</v>
      </c>
      <c r="W29" s="70">
        <f ca="1">-'Steuerliche Gewinnermittlung'!AM29</f>
        <v>-357</v>
      </c>
      <c r="X29" s="71">
        <f ca="1">-'Steuerliche Gewinnermittlung'!AY29</f>
        <v>0</v>
      </c>
      <c r="Y29" s="69">
        <f t="shared" ca="1" si="0"/>
        <v>1013.8296230908031</v>
      </c>
      <c r="Z29" s="69">
        <f ca="1">Y29/(1+Eingabe!$E$75)^21</f>
        <v>668.90026764299762</v>
      </c>
    </row>
    <row r="30" spans="1:26">
      <c r="A30" s="123">
        <f t="shared" si="3"/>
        <v>52232</v>
      </c>
      <c r="B30" s="179">
        <f>B29*(1-Eingabe!$E$19)</f>
        <v>8731.973159655312</v>
      </c>
      <c r="C30" s="180">
        <f>B30*Eingabe!$E$34*D30</f>
        <v>1418.0724411280228</v>
      </c>
      <c r="D30" s="180">
        <f>D29*(1+Eingabe!$E$30)</f>
        <v>0.20299999999999999</v>
      </c>
      <c r="E30" s="180">
        <f>E29*(1+Eingabe!$E$30)</f>
        <v>0.39101545041286956</v>
      </c>
      <c r="F30" s="180">
        <f>B30*Eingabe!$E$35*Liquiditätsvorschau!E30</f>
        <v>682.86728360314169</v>
      </c>
      <c r="G30" s="181"/>
      <c r="H30" s="71">
        <f t="shared" si="1"/>
        <v>2100.9397247311645</v>
      </c>
      <c r="I30" s="138"/>
      <c r="J30" s="59">
        <f>J29*(1+Eingabe!$E$29)</f>
        <v>346.89092478075719</v>
      </c>
      <c r="K30" s="59">
        <f>K29*(1+Eingabe!$E$29)</f>
        <v>138.75636991230283</v>
      </c>
      <c r="L30" s="59">
        <f>L29*(1+Eingabe!$E$29)</f>
        <v>41.626910973690855</v>
      </c>
      <c r="M30" s="59">
        <f>M29*(1+Eingabe!$E$29)</f>
        <v>69.378184956151415</v>
      </c>
      <c r="N30" s="59">
        <f>N29*(1+Eingabe!$E$29)</f>
        <v>13.875636991230282</v>
      </c>
      <c r="O30" s="59">
        <f>'Absetzung für Abnutzung'!D36</f>
        <v>0</v>
      </c>
      <c r="P30" s="59">
        <f>'Absetzung für Abnutzung'!E36</f>
        <v>0</v>
      </c>
      <c r="Q30" s="136"/>
      <c r="R30" s="136"/>
      <c r="S30" s="60">
        <f>'Steuerliche Gewinnermittlung'!R30</f>
        <v>109.02923015512347</v>
      </c>
      <c r="T30" s="60">
        <f ca="1">'Darlehen 1'!J42+'Darlehen 2'!J42+'Darlehen 3'!J42</f>
        <v>0</v>
      </c>
      <c r="U30" s="61">
        <f ca="1">-Konten!D30</f>
        <v>0</v>
      </c>
      <c r="V30" s="69">
        <f t="shared" ca="1" si="2"/>
        <v>1381.3824669619084</v>
      </c>
      <c r="W30" s="70">
        <f ca="1">-'Steuerliche Gewinnermittlung'!AM30</f>
        <v>-359</v>
      </c>
      <c r="X30" s="71">
        <f ca="1">-'Steuerliche Gewinnermittlung'!AY30</f>
        <v>0</v>
      </c>
      <c r="Y30" s="69">
        <f t="shared" ca="1" si="0"/>
        <v>1022.3824669619084</v>
      </c>
      <c r="Z30" s="69">
        <f ca="1">Y30/(1+Eingabe!$E$75)^22</f>
        <v>661.31688940567119</v>
      </c>
    </row>
    <row r="31" spans="1:26">
      <c r="A31" s="123">
        <f t="shared" si="3"/>
        <v>52597</v>
      </c>
      <c r="B31" s="179">
        <f>B30*(1-Eingabe!$E$19)</f>
        <v>8688.3132938570361</v>
      </c>
      <c r="C31" s="180">
        <f>B31*Eingabe!$E$34*D31</f>
        <v>1432.1468101062183</v>
      </c>
      <c r="D31" s="180">
        <f>D30*(1+Eingabe!$E$30)</f>
        <v>0.20604499999999998</v>
      </c>
      <c r="E31" s="180">
        <f>E30*(1+Eingabe!$E$30)</f>
        <v>0.39688068216906258</v>
      </c>
      <c r="F31" s="180">
        <f>B31*Eingabe!$E$35*Liquiditätsvorschau!E31</f>
        <v>689.64474139290292</v>
      </c>
      <c r="G31" s="181"/>
      <c r="H31" s="71">
        <f t="shared" si="1"/>
        <v>2121.7915514991209</v>
      </c>
      <c r="I31" s="138"/>
      <c r="J31" s="59">
        <f>J30*(1+Eingabe!$E$29)</f>
        <v>352.09428865246849</v>
      </c>
      <c r="K31" s="59">
        <f>K30*(1+Eingabe!$E$29)</f>
        <v>140.83771546098737</v>
      </c>
      <c r="L31" s="59">
        <f>L30*(1+Eingabe!$E$29)</f>
        <v>42.251314638296215</v>
      </c>
      <c r="M31" s="59">
        <f>M30*(1+Eingabe!$E$29)</f>
        <v>70.418857730493684</v>
      </c>
      <c r="N31" s="59">
        <f>N30*(1+Eingabe!$E$29)</f>
        <v>14.083771546098735</v>
      </c>
      <c r="O31" s="59">
        <f>'Absetzung für Abnutzung'!D37</f>
        <v>0</v>
      </c>
      <c r="P31" s="59">
        <f>'Absetzung für Abnutzung'!E37</f>
        <v>0</v>
      </c>
      <c r="Q31" s="136"/>
      <c r="R31" s="136"/>
      <c r="S31" s="60">
        <f>'Steuerliche Gewinnermittlung'!R31</f>
        <v>110.11134526441309</v>
      </c>
      <c r="T31" s="60">
        <f ca="1">'Darlehen 1'!J43+'Darlehen 2'!J43+'Darlehen 3'!J43</f>
        <v>0</v>
      </c>
      <c r="U31" s="61">
        <f ca="1">-Konten!D31</f>
        <v>0</v>
      </c>
      <c r="V31" s="69">
        <f t="shared" ca="1" si="2"/>
        <v>1391.9942582063634</v>
      </c>
      <c r="W31" s="70">
        <f ca="1">-'Steuerliche Gewinnermittlung'!AM31</f>
        <v>-362</v>
      </c>
      <c r="X31" s="71">
        <f ca="1">-'Steuerliche Gewinnermittlung'!AY31</f>
        <v>0</v>
      </c>
      <c r="Y31" s="69">
        <f t="shared" ca="1" si="0"/>
        <v>1029.9942582063634</v>
      </c>
      <c r="Z31" s="69">
        <f ca="1">Y31/(1+Eingabe!$E$75)^23</f>
        <v>653.17695403613766</v>
      </c>
    </row>
    <row r="32" spans="1:26">
      <c r="A32" s="123">
        <f t="shared" si="3"/>
        <v>52963</v>
      </c>
      <c r="B32" s="179">
        <f>B31*(1-Eingabe!$E$19)</f>
        <v>8644.8717273877501</v>
      </c>
      <c r="C32" s="180">
        <f>B32*Eingabe!$E$34*D32</f>
        <v>1446.3608671965223</v>
      </c>
      <c r="D32" s="180">
        <f>D31*(1+Eingabe!$E$30)</f>
        <v>0.20913567499999997</v>
      </c>
      <c r="E32" s="180">
        <f>E31*(1+Eingabe!$E$30)</f>
        <v>0.4028338924015985</v>
      </c>
      <c r="F32" s="180">
        <f>B32*Eingabe!$E$35*Liquiditätsvorschau!E32</f>
        <v>696.48946545122737</v>
      </c>
      <c r="G32" s="181"/>
      <c r="H32" s="71">
        <f t="shared" si="1"/>
        <v>2142.8503326477498</v>
      </c>
      <c r="I32" s="138"/>
      <c r="J32" s="59">
        <f>J31*(1+Eingabe!$E$29)</f>
        <v>357.37570298225546</v>
      </c>
      <c r="K32" s="59">
        <f>K31*(1+Eingabe!$E$29)</f>
        <v>142.95028119290217</v>
      </c>
      <c r="L32" s="59">
        <f>L31*(1+Eingabe!$E$29)</f>
        <v>42.885084357870653</v>
      </c>
      <c r="M32" s="59">
        <f>M31*(1+Eingabe!$E$29)</f>
        <v>71.475140596451084</v>
      </c>
      <c r="N32" s="59">
        <f>N31*(1+Eingabe!$E$29)</f>
        <v>14.295028119290214</v>
      </c>
      <c r="O32" s="59">
        <f>'Absetzung für Abnutzung'!D38</f>
        <v>0</v>
      </c>
      <c r="P32" s="59">
        <f>'Absetzung für Abnutzung'!E38</f>
        <v>0</v>
      </c>
      <c r="Q32" s="136"/>
      <c r="R32" s="136"/>
      <c r="S32" s="60">
        <f>'Steuerliche Gewinnermittlung'!R32</f>
        <v>111.20420036616235</v>
      </c>
      <c r="T32" s="60">
        <f ca="1">'Darlehen 1'!J44+'Darlehen 2'!J44+'Darlehen 3'!J44</f>
        <v>0</v>
      </c>
      <c r="U32" s="61">
        <f ca="1">-Konten!D32</f>
        <v>0</v>
      </c>
      <c r="V32" s="69">
        <f t="shared" ca="1" si="2"/>
        <v>1402.6648950328176</v>
      </c>
      <c r="W32" s="70">
        <f ca="1">-'Steuerliche Gewinnermittlung'!AM32</f>
        <v>-365</v>
      </c>
      <c r="X32" s="71">
        <f ca="1">-'Steuerliche Gewinnermittlung'!AY32</f>
        <v>0</v>
      </c>
      <c r="Y32" s="69">
        <f t="shared" ca="1" si="0"/>
        <v>1037.6648950328176</v>
      </c>
      <c r="Z32" s="69">
        <f ca="1">Y32/(1+Eingabe!$E$75)^24</f>
        <v>645.13856252170865</v>
      </c>
    </row>
    <row r="33" spans="1:26">
      <c r="A33" s="123">
        <f t="shared" si="3"/>
        <v>53328</v>
      </c>
      <c r="B33" s="179">
        <f>B32*(1-Eingabe!$E$19)</f>
        <v>8601.6473687508114</v>
      </c>
      <c r="C33" s="180">
        <f>B33*Eingabe!$E$34*D33</f>
        <v>1460.7159988034477</v>
      </c>
      <c r="D33" s="180">
        <f>D32*(1+Eingabe!$E$30)</f>
        <v>0.21227271012499996</v>
      </c>
      <c r="E33" s="180">
        <f>E32*(1+Eingabe!$E$30)</f>
        <v>0.40887640078762244</v>
      </c>
      <c r="F33" s="180">
        <f>B33*Eingabe!$E$35*Liquiditätsvorschau!E33</f>
        <v>703.40212339583081</v>
      </c>
      <c r="G33" s="181"/>
      <c r="H33" s="71">
        <f t="shared" si="1"/>
        <v>2164.1181221992783</v>
      </c>
      <c r="I33" s="138"/>
      <c r="J33" s="59">
        <f>J32*(1+Eingabe!$E$29)</f>
        <v>362.73633852698924</v>
      </c>
      <c r="K33" s="59">
        <f>K32*(1+Eingabe!$E$29)</f>
        <v>145.09453541079569</v>
      </c>
      <c r="L33" s="59">
        <f>L32*(1+Eingabe!$E$29)</f>
        <v>43.528360623238711</v>
      </c>
      <c r="M33" s="59">
        <f>M32*(1+Eingabe!$E$29)</f>
        <v>72.547267705397843</v>
      </c>
      <c r="N33" s="59">
        <f>N32*(1+Eingabe!$E$29)</f>
        <v>14.509453541079566</v>
      </c>
      <c r="O33" s="59">
        <f>'Absetzung für Abnutzung'!D39</f>
        <v>0</v>
      </c>
      <c r="P33" s="59">
        <f>'Absetzung für Abnutzung'!E39</f>
        <v>0</v>
      </c>
      <c r="Q33" s="136"/>
      <c r="R33" s="136"/>
      <c r="S33" s="60">
        <f>'Steuerliche Gewinnermittlung'!R33</f>
        <v>112.30790205479651</v>
      </c>
      <c r="T33" s="60">
        <f ca="1">'Darlehen 1'!J45+'Darlehen 2'!J45+'Darlehen 3'!J45</f>
        <v>0</v>
      </c>
      <c r="U33" s="61">
        <f ca="1">-Konten!D33</f>
        <v>0</v>
      </c>
      <c r="V33" s="69">
        <f t="shared" ca="1" si="2"/>
        <v>1413.3942643369805</v>
      </c>
      <c r="W33" s="70">
        <f ca="1">-'Steuerliche Gewinnermittlung'!AM33</f>
        <v>-367</v>
      </c>
      <c r="X33" s="71">
        <f ca="1">-'Steuerliche Gewinnermittlung'!AY33</f>
        <v>0</v>
      </c>
      <c r="Y33" s="69">
        <f t="shared" ca="1" si="0"/>
        <v>1046.3942643369805</v>
      </c>
      <c r="Z33" s="69">
        <f ca="1">Y33/(1+Eingabe!$E$75)^25</f>
        <v>637.80960685711818</v>
      </c>
    </row>
    <row r="34" spans="1:26">
      <c r="A34" s="123">
        <f t="shared" si="3"/>
        <v>53693</v>
      </c>
      <c r="B34" s="179">
        <f>B33*(1-Eingabe!$E$19)</f>
        <v>8558.6391319070572</v>
      </c>
      <c r="C34" s="180">
        <f>B34*Eingabe!$E$34*D34</f>
        <v>1475.2136050915717</v>
      </c>
      <c r="D34" s="180">
        <f>D33*(1+Eingabe!$E$30)</f>
        <v>0.21545680077687493</v>
      </c>
      <c r="E34" s="180">
        <f>E33*(1+Eingabe!$E$30)</f>
        <v>0.41500954679943675</v>
      </c>
      <c r="F34" s="180">
        <f>B34*Eingabe!$E$35*Liquiditätsvorschau!E34</f>
        <v>710.38338947053433</v>
      </c>
      <c r="G34" s="181"/>
      <c r="H34" s="71">
        <f t="shared" si="1"/>
        <v>2185.5969945621059</v>
      </c>
      <c r="I34" s="138"/>
      <c r="J34" s="59">
        <f>J33*(1+Eingabe!$E$29)</f>
        <v>368.17738360489403</v>
      </c>
      <c r="K34" s="59">
        <f>K33*(1+Eingabe!$E$29)</f>
        <v>147.2709534419576</v>
      </c>
      <c r="L34" s="59">
        <f>L33*(1+Eingabe!$E$29)</f>
        <v>44.181286032587288</v>
      </c>
      <c r="M34" s="59">
        <f>M33*(1+Eingabe!$E$29)</f>
        <v>73.635476720978801</v>
      </c>
      <c r="N34" s="59">
        <f>N33*(1+Eingabe!$E$29)</f>
        <v>14.727095344195758</v>
      </c>
      <c r="O34" s="59">
        <f>'Absetzung für Abnutzung'!D40</f>
        <v>0</v>
      </c>
      <c r="P34" s="59">
        <f>'Absetzung für Abnutzung'!E40</f>
        <v>0</v>
      </c>
      <c r="Q34" s="136"/>
      <c r="R34" s="136"/>
      <c r="S34" s="60">
        <f>'Steuerliche Gewinnermittlung'!R34</f>
        <v>113.42255798269035</v>
      </c>
      <c r="T34" s="60">
        <f ca="1">'Darlehen 1'!J46+'Darlehen 2'!J46+'Darlehen 3'!J46</f>
        <v>0</v>
      </c>
      <c r="U34" s="61">
        <f ca="1">-Konten!D34</f>
        <v>0</v>
      </c>
      <c r="V34" s="69">
        <f t="shared" ca="1" si="2"/>
        <v>1424.1822414348023</v>
      </c>
      <c r="W34" s="70">
        <f ca="1">-'Steuerliche Gewinnermittlung'!AM34</f>
        <v>-370</v>
      </c>
      <c r="X34" s="71">
        <f ca="1">-'Steuerliche Gewinnermittlung'!AY34</f>
        <v>0</v>
      </c>
      <c r="Y34" s="69">
        <f t="shared" ca="1" si="0"/>
        <v>1054.1822414348023</v>
      </c>
      <c r="Z34" s="69">
        <f ca="1">Y34/(1+Eingabe!$E$75)^26</f>
        <v>629.95746991883107</v>
      </c>
    </row>
    <row r="35" spans="1:26">
      <c r="A35" s="123">
        <f t="shared" si="3"/>
        <v>54058</v>
      </c>
      <c r="B35" s="179">
        <f>B34*(1-Eingabe!$E$19)</f>
        <v>8515.8459362475223</v>
      </c>
      <c r="C35" s="180">
        <f>B35*Eingabe!$E$34*D35</f>
        <v>1489.8551001221056</v>
      </c>
      <c r="D35" s="180">
        <f>D34*(1+Eingabe!$E$30)</f>
        <v>0.21868865278852803</v>
      </c>
      <c r="E35" s="180">
        <f>E34*(1+Eingabe!$E$30)</f>
        <v>0.42123469000142827</v>
      </c>
      <c r="F35" s="180">
        <f>B35*Eingabe!$E$35*Liquiditätsvorschau!E35</f>
        <v>717.43394461102946</v>
      </c>
      <c r="G35" s="181"/>
      <c r="H35" s="71">
        <f t="shared" si="1"/>
        <v>2207.2890447331351</v>
      </c>
      <c r="I35" s="138"/>
      <c r="J35" s="59">
        <f>J34*(1+Eingabe!$E$29)</f>
        <v>373.70004435896743</v>
      </c>
      <c r="K35" s="59">
        <f>K34*(1+Eingabe!$E$29)</f>
        <v>149.48001774358696</v>
      </c>
      <c r="L35" s="59">
        <f>L34*(1+Eingabe!$E$29)</f>
        <v>44.84400532307609</v>
      </c>
      <c r="M35" s="59">
        <f>M34*(1+Eingabe!$E$29)</f>
        <v>74.740008871793478</v>
      </c>
      <c r="N35" s="59">
        <f>N34*(1+Eingabe!$E$29)</f>
        <v>14.948001774358694</v>
      </c>
      <c r="O35" s="59">
        <f>'Absetzung für Abnutzung'!D41</f>
        <v>0</v>
      </c>
      <c r="P35" s="59">
        <f>'Absetzung für Abnutzung'!E41</f>
        <v>0</v>
      </c>
      <c r="Q35" s="136"/>
      <c r="R35" s="136"/>
      <c r="S35" s="60">
        <f>'Steuerliche Gewinnermittlung'!R35</f>
        <v>114.54827687066857</v>
      </c>
      <c r="T35" s="60">
        <f ca="1">'Darlehen 1'!J47+'Darlehen 2'!J47+'Darlehen 3'!J47</f>
        <v>0</v>
      </c>
      <c r="U35" s="61">
        <f ca="1">-Konten!D35</f>
        <v>0</v>
      </c>
      <c r="V35" s="69">
        <f t="shared" ca="1" si="2"/>
        <v>1435.0286897906838</v>
      </c>
      <c r="W35" s="70">
        <f ca="1">-'Steuerliche Gewinnermittlung'!AM35</f>
        <v>-373</v>
      </c>
      <c r="X35" s="71">
        <f ca="1">-'Steuerliche Gewinnermittlung'!AY35</f>
        <v>0</v>
      </c>
      <c r="Y35" s="69">
        <f t="shared" ca="1" si="0"/>
        <v>1062.0286897906838</v>
      </c>
      <c r="Z35" s="69">
        <f ca="1">Y35/(1+Eingabe!$E$75)^27</f>
        <v>622.20229893706596</v>
      </c>
    </row>
    <row r="36" spans="1:26">
      <c r="A36" s="123">
        <f t="shared" si="3"/>
        <v>54424</v>
      </c>
      <c r="B36" s="179">
        <f>B35*(1-Eingabe!$E$19)</f>
        <v>8473.2667065662845</v>
      </c>
      <c r="C36" s="180">
        <f>B36*Eingabe!$E$34*D36</f>
        <v>1504.6419119908173</v>
      </c>
      <c r="D36" s="180">
        <f>D35*(1+Eingabe!$E$30)</f>
        <v>0.22196898258035594</v>
      </c>
      <c r="E36" s="180">
        <f>E35*(1+Eingabe!$E$30)</f>
        <v>0.42755321035144966</v>
      </c>
      <c r="F36" s="180">
        <f>B36*Eingabe!$E$35*Liquiditätsvorschau!E36</f>
        <v>724.55447651129384</v>
      </c>
      <c r="G36" s="181"/>
      <c r="H36" s="71">
        <f t="shared" si="1"/>
        <v>2229.1963885021114</v>
      </c>
      <c r="I36" s="138"/>
      <c r="J36" s="59">
        <f>J35*(1+Eingabe!$E$29)</f>
        <v>379.30554502435189</v>
      </c>
      <c r="K36" s="59">
        <f>K35*(1+Eingabe!$E$29)</f>
        <v>151.72221800974074</v>
      </c>
      <c r="L36" s="59">
        <f>L35*(1+Eingabe!$E$29)</f>
        <v>45.516665402922229</v>
      </c>
      <c r="M36" s="59">
        <f>M35*(1+Eingabe!$E$29)</f>
        <v>75.861109004870372</v>
      </c>
      <c r="N36" s="59">
        <f>N35*(1+Eingabe!$E$29)</f>
        <v>15.172221800974073</v>
      </c>
      <c r="O36" s="59">
        <f>'Absetzung für Abnutzung'!D42</f>
        <v>0</v>
      </c>
      <c r="P36" s="59">
        <f>'Absetzung für Abnutzung'!E42</f>
        <v>0</v>
      </c>
      <c r="Q36" s="136"/>
      <c r="R36" s="136"/>
      <c r="S36" s="60">
        <f>'Steuerliche Gewinnermittlung'!R36</f>
        <v>115.68516851860996</v>
      </c>
      <c r="T36" s="60">
        <f ca="1">'Darlehen 1'!J48+'Darlehen 2'!J48+'Darlehen 3'!J48</f>
        <v>0</v>
      </c>
      <c r="U36" s="61">
        <f ca="1">-Konten!D36</f>
        <v>0</v>
      </c>
      <c r="V36" s="69">
        <f t="shared" ca="1" si="2"/>
        <v>1445.9334607406422</v>
      </c>
      <c r="W36" s="70">
        <f ca="1">-'Steuerliche Gewinnermittlung'!AM36</f>
        <v>-375</v>
      </c>
      <c r="X36" s="71">
        <f ca="1">-'Steuerliche Gewinnermittlung'!AY36</f>
        <v>0</v>
      </c>
      <c r="Y36" s="69">
        <f t="shared" ca="1" si="0"/>
        <v>1070.9334607406422</v>
      </c>
      <c r="Z36" s="69">
        <f ca="1">Y36/(1+Eingabe!$E$75)^28</f>
        <v>615.11692769288061</v>
      </c>
    </row>
    <row r="37" spans="1:26">
      <c r="A37" s="123">
        <f t="shared" si="3"/>
        <v>54789</v>
      </c>
      <c r="B37" s="179">
        <f>B36*(1-Eingabe!$E$19)</f>
        <v>8430.9003730334534</v>
      </c>
      <c r="C37" s="180">
        <f>B37*Eingabe!$E$34*D37</f>
        <v>1519.575482967326</v>
      </c>
      <c r="D37" s="180">
        <f>D36*(1+Eingabe!$E$30)</f>
        <v>0.22529851731906125</v>
      </c>
      <c r="E37" s="180">
        <f>E36*(1+Eingabe!$E$30)</f>
        <v>0.43396650850672136</v>
      </c>
      <c r="F37" s="180">
        <f>B37*Eingabe!$E$35*Liquiditätsvorschau!E37</f>
        <v>731.74567969066834</v>
      </c>
      <c r="G37" s="181"/>
      <c r="H37" s="71">
        <f t="shared" si="1"/>
        <v>2251.3211626579941</v>
      </c>
      <c r="I37" s="138"/>
      <c r="J37" s="59">
        <f>J36*(1+Eingabe!$E$29)</f>
        <v>384.9951281997171</v>
      </c>
      <c r="K37" s="59">
        <f>K36*(1+Eingabe!$E$29)</f>
        <v>153.99805127988685</v>
      </c>
      <c r="L37" s="59">
        <f>L36*(1+Eingabe!$E$29)</f>
        <v>46.199415383966056</v>
      </c>
      <c r="M37" s="59">
        <f>M36*(1+Eingabe!$E$29)</f>
        <v>76.999025639943426</v>
      </c>
      <c r="N37" s="59">
        <f>N36*(1+Eingabe!$E$29)</f>
        <v>15.399805127988683</v>
      </c>
      <c r="O37" s="59">
        <f>'Absetzung für Abnutzung'!D43</f>
        <v>0</v>
      </c>
      <c r="P37" s="59">
        <f>'Absetzung für Abnutzung'!E43</f>
        <v>0</v>
      </c>
      <c r="Q37" s="136"/>
      <c r="R37" s="136"/>
      <c r="S37" s="60">
        <f>'Steuerliche Gewinnermittlung'!R37</f>
        <v>116.83334381615713</v>
      </c>
      <c r="T37" s="60">
        <f ca="1">'Darlehen 1'!J49+'Darlehen 2'!J49+'Darlehen 3'!J49</f>
        <v>0</v>
      </c>
      <c r="U37" s="61">
        <f ca="1">-Konten!D37</f>
        <v>0</v>
      </c>
      <c r="V37" s="69">
        <f t="shared" ca="1" si="2"/>
        <v>1456.896393210335</v>
      </c>
      <c r="W37" s="70">
        <f ca="1">-'Steuerliche Gewinnermittlung'!AM37</f>
        <v>-378</v>
      </c>
      <c r="X37" s="71">
        <f ca="1">-'Steuerliche Gewinnermittlung'!AY37</f>
        <v>0</v>
      </c>
      <c r="Y37" s="69">
        <f t="shared" ca="1" si="0"/>
        <v>1078.896393210335</v>
      </c>
      <c r="Z37" s="69">
        <f ca="1">Y37/(1+Eingabe!$E$75)^9</f>
        <v>902.7722383497661</v>
      </c>
    </row>
    <row r="38" spans="1:26">
      <c r="A38" s="124">
        <f t="shared" si="3"/>
        <v>55154</v>
      </c>
      <c r="B38" s="179">
        <f>B37*(1-Eingabe!$E$19)</f>
        <v>8388.7458711682866</v>
      </c>
      <c r="C38" s="180">
        <f>B38*Eingabe!$E$34*D38</f>
        <v>1534.6572696357766</v>
      </c>
      <c r="D38" s="180">
        <f>D37*(1+Eingabe!$E$30)</f>
        <v>0.22867799507884715</v>
      </c>
      <c r="E38" s="180">
        <f>E37*(1+Eingabe!$E$30)</f>
        <v>0.44047600613432214</v>
      </c>
      <c r="F38" s="180">
        <f>B38*Eingabe!$E$35*Liquiditätsvorschau!E38</f>
        <v>739.00825556159816</v>
      </c>
      <c r="G38" s="181"/>
      <c r="H38" s="130">
        <f t="shared" si="1"/>
        <v>2273.6655251973748</v>
      </c>
      <c r="I38" s="139"/>
      <c r="J38" s="125">
        <f>J37*(1+Eingabe!$E$29)</f>
        <v>390.77005512271285</v>
      </c>
      <c r="K38" s="125">
        <f>K37*(1+Eingabe!$E$29)</f>
        <v>156.30802204908514</v>
      </c>
      <c r="L38" s="125">
        <f>L37*(1+Eingabe!$E$29)</f>
        <v>46.892406614725545</v>
      </c>
      <c r="M38" s="125">
        <f>M37*(1+Eingabe!$E$29)</f>
        <v>78.154011024542569</v>
      </c>
      <c r="N38" s="125">
        <f>N37*(1+Eingabe!$E$29)</f>
        <v>15.630802204908512</v>
      </c>
      <c r="O38" s="125">
        <f>'Absetzung für Abnutzung'!D44</f>
        <v>0</v>
      </c>
      <c r="P38" s="125">
        <f>'Absetzung für Abnutzung'!E44</f>
        <v>0</v>
      </c>
      <c r="Q38" s="137"/>
      <c r="R38" s="137"/>
      <c r="S38" s="127">
        <f>'Steuerliche Gewinnermittlung'!R38</f>
        <v>117.99291475353249</v>
      </c>
      <c r="T38" s="127">
        <f>'Darlehen 1'!J50+'Darlehen 2'!J50+'Darlehen 3'!J50</f>
        <v>0</v>
      </c>
      <c r="U38" s="126">
        <f ca="1">-Konten!D38</f>
        <v>0</v>
      </c>
      <c r="V38" s="128">
        <f t="shared" ca="1" si="2"/>
        <v>1467.9173134278676</v>
      </c>
      <c r="W38" s="129">
        <f ca="1">-'Steuerliche Gewinnermittlung'!AM38</f>
        <v>-381</v>
      </c>
      <c r="X38" s="130">
        <f ca="1">-'Steuerliche Gewinnermittlung'!AY38</f>
        <v>0</v>
      </c>
      <c r="Y38" s="128">
        <f t="shared" ca="1" si="0"/>
        <v>1086.9173134278676</v>
      </c>
      <c r="Z38" s="128">
        <f ca="1">Y38/(1+Eingabe!$E$75)^30</f>
        <v>600.05540747178054</v>
      </c>
    </row>
    <row r="39" spans="1:26">
      <c r="A39" s="82"/>
      <c r="B39" s="52"/>
      <c r="C39" s="52"/>
      <c r="D39" s="52"/>
      <c r="E39" s="52"/>
      <c r="F39" s="52"/>
      <c r="G39" s="52"/>
      <c r="H39" s="8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82"/>
      <c r="W39" s="22"/>
      <c r="X39" s="22"/>
      <c r="Y39" s="82"/>
      <c r="Z39" s="175"/>
    </row>
    <row r="40" spans="1:26" ht="15.75" thickBot="1">
      <c r="A40" s="82"/>
      <c r="B40" s="52"/>
      <c r="C40" s="182">
        <f>SUM(C7:C38)</f>
        <v>28507.181001120538</v>
      </c>
      <c r="D40" s="182"/>
      <c r="E40" s="182"/>
      <c r="F40" s="182">
        <f t="shared" ref="F40:N40" si="4">SUM(F7:F38)</f>
        <v>19670.841885949503</v>
      </c>
      <c r="G40" s="182">
        <f t="shared" si="4"/>
        <v>9999</v>
      </c>
      <c r="H40" s="178">
        <f t="shared" si="4"/>
        <v>58177.022887070038</v>
      </c>
      <c r="I40" s="64">
        <f t="shared" si="4"/>
        <v>13500</v>
      </c>
      <c r="J40" s="64">
        <f t="shared" si="4"/>
        <v>9692.1070633036306</v>
      </c>
      <c r="K40" s="64">
        <f t="shared" si="4"/>
        <v>3876.8428253214529</v>
      </c>
      <c r="L40" s="64">
        <f t="shared" si="4"/>
        <v>1163.0528475964356</v>
      </c>
      <c r="M40" s="64">
        <f t="shared" si="4"/>
        <v>1938.4214126607264</v>
      </c>
      <c r="N40" s="64">
        <f t="shared" si="4"/>
        <v>387.68428253214512</v>
      </c>
      <c r="O40" s="64">
        <f t="shared" ref="O40:Q40" si="5">SUM(O8:O38)</f>
        <v>6479.9999999999973</v>
      </c>
      <c r="P40" s="64">
        <f t="shared" si="5"/>
        <v>1620</v>
      </c>
      <c r="Q40" s="64">
        <f t="shared" si="5"/>
        <v>5400</v>
      </c>
      <c r="R40" s="64">
        <f t="shared" ref="R40:Z40" si="6">SUM(R7:R38)</f>
        <v>0</v>
      </c>
      <c r="S40" s="64">
        <f t="shared" si="6"/>
        <v>3140.7226540591637</v>
      </c>
      <c r="T40" s="64">
        <f t="shared" ca="1" si="6"/>
        <v>11381.096645176607</v>
      </c>
      <c r="U40" s="64">
        <f t="shared" ca="1" si="6"/>
        <v>453.99665382225703</v>
      </c>
      <c r="V40" s="178">
        <f t="shared" ca="1" si="6"/>
        <v>12643.098502597619</v>
      </c>
      <c r="W40" s="64">
        <f t="shared" ca="1" si="6"/>
        <v>-1636</v>
      </c>
      <c r="X40" s="64">
        <f t="shared" ca="1" si="6"/>
        <v>0</v>
      </c>
      <c r="Y40" s="178">
        <f t="shared" ca="1" si="6"/>
        <v>11007.098502597619</v>
      </c>
      <c r="Z40" s="176">
        <f t="shared" ca="1" si="6"/>
        <v>6237.346509312456</v>
      </c>
    </row>
    <row r="41" spans="1:26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7" spans="1:26" hidden="1">
      <c r="J47" s="40" t="s">
        <v>0</v>
      </c>
    </row>
    <row r="48" spans="1:26" hidden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</sheetData>
  <sheetProtection algorithmName="SHA-512" hashValue="dihFQiPjvg5ClJZ3yxwmL3rKzvE9FlQQ+pBUpDcDVy+EUz05r7/poKKdgLaJPwW3+rCs+UcuZRZIE73GT4OX4Q==" saltValue="99ePSr33sE/x0mDtIgGaiw==" spinCount="100000" sheet="1" objects="1" scenarios="1"/>
  <mergeCells count="4">
    <mergeCell ref="B5:G5"/>
    <mergeCell ref="J5:T5"/>
    <mergeCell ref="W5:X5"/>
    <mergeCell ref="A1:F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1" fitToHeight="0" orientation="landscape" r:id="rId1"/>
  <headerFooter>
    <oddHeader>&amp;L&amp;F&amp;R&amp;D</oddHeader>
    <oddFooter>&amp;CSeite &amp;P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>
    <pageSetUpPr fitToPage="1"/>
  </sheetPr>
  <dimension ref="A1:R41"/>
  <sheetViews>
    <sheetView showGridLines="0" zoomScale="80" zoomScaleNormal="80" workbookViewId="0">
      <selection sqref="A1:D1"/>
    </sheetView>
  </sheetViews>
  <sheetFormatPr baseColWidth="10" defaultColWidth="0" defaultRowHeight="15" zeroHeight="1"/>
  <cols>
    <col min="1" max="1" width="11" style="40" customWidth="1"/>
    <col min="2" max="2" width="14.125" style="40" customWidth="1"/>
    <col min="3" max="5" width="13.625" style="40" customWidth="1"/>
    <col min="6" max="6" width="15.125" style="40" customWidth="1"/>
    <col min="7" max="8" width="14" style="40" customWidth="1"/>
    <col min="9" max="10" width="13.625" style="40" customWidth="1"/>
    <col min="11" max="11" width="13.5" style="40" customWidth="1"/>
    <col min="12" max="12" width="13.625" style="40" customWidth="1"/>
    <col min="13" max="13" width="14" style="40" customWidth="1"/>
    <col min="14" max="14" width="13.625" style="40" customWidth="1"/>
    <col min="15" max="15" width="15.125" style="40" customWidth="1"/>
    <col min="16" max="16" width="14.125" style="40" customWidth="1"/>
    <col min="17" max="17" width="14.375" style="40" customWidth="1"/>
    <col min="18" max="18" width="1.625" style="23" customWidth="1"/>
    <col min="19" max="16384" width="11" style="40" hidden="1"/>
  </cols>
  <sheetData>
    <row r="1" spans="1:18" s="21" customFormat="1" ht="35.1" customHeight="1">
      <c r="A1" s="238" t="s">
        <v>245</v>
      </c>
      <c r="B1" s="239"/>
      <c r="C1" s="239"/>
      <c r="D1" s="239"/>
      <c r="R1" s="140"/>
    </row>
    <row r="2" spans="1:18" s="22" customFormat="1">
      <c r="R2" s="23"/>
    </row>
    <row r="3" spans="1:18" s="83" customFormat="1" ht="15.75">
      <c r="A3" s="96"/>
      <c r="B3" s="250" t="s">
        <v>109</v>
      </c>
      <c r="C3" s="246"/>
      <c r="D3" s="246"/>
      <c r="E3" s="246"/>
      <c r="F3" s="246"/>
      <c r="G3" s="247"/>
      <c r="H3" s="246" t="s">
        <v>116</v>
      </c>
      <c r="I3" s="246"/>
      <c r="J3" s="246"/>
      <c r="K3" s="246"/>
      <c r="L3" s="247"/>
      <c r="M3" s="248" t="s">
        <v>122</v>
      </c>
      <c r="N3" s="248"/>
      <c r="O3" s="248"/>
      <c r="P3" s="248"/>
      <c r="Q3" s="249"/>
      <c r="R3" s="220"/>
    </row>
    <row r="4" spans="1:18" s="22" customFormat="1">
      <c r="A4" s="82"/>
      <c r="B4" s="52"/>
      <c r="G4" s="82"/>
      <c r="H4" s="52"/>
      <c r="I4" s="52"/>
      <c r="J4" s="52"/>
      <c r="K4" s="52"/>
      <c r="L4" s="82"/>
      <c r="Q4" s="82"/>
      <c r="R4" s="23"/>
    </row>
    <row r="5" spans="1:18" ht="30">
      <c r="A5" s="54" t="s">
        <v>73</v>
      </c>
      <c r="B5" s="55" t="s">
        <v>110</v>
      </c>
      <c r="C5" s="56" t="s">
        <v>111</v>
      </c>
      <c r="D5" s="68" t="s">
        <v>112</v>
      </c>
      <c r="E5" s="55" t="s">
        <v>113</v>
      </c>
      <c r="F5" s="55" t="s">
        <v>114</v>
      </c>
      <c r="G5" s="68" t="s">
        <v>115</v>
      </c>
      <c r="H5" s="55" t="s">
        <v>110</v>
      </c>
      <c r="I5" s="56" t="s">
        <v>111</v>
      </c>
      <c r="J5" s="68" t="s">
        <v>153</v>
      </c>
      <c r="K5" s="55" t="s">
        <v>117</v>
      </c>
      <c r="L5" s="68" t="s">
        <v>118</v>
      </c>
      <c r="M5" s="55" t="s">
        <v>110</v>
      </c>
      <c r="N5" s="56" t="s">
        <v>111</v>
      </c>
      <c r="O5" s="68" t="s">
        <v>119</v>
      </c>
      <c r="P5" s="55" t="s">
        <v>120</v>
      </c>
      <c r="Q5" s="68" t="s">
        <v>121</v>
      </c>
    </row>
    <row r="6" spans="1:18">
      <c r="A6" s="54"/>
      <c r="B6" s="55"/>
      <c r="C6" s="79"/>
      <c r="D6" s="68"/>
      <c r="E6" s="55"/>
      <c r="F6" s="55"/>
      <c r="G6" s="80"/>
      <c r="H6" s="55"/>
      <c r="I6" s="56"/>
      <c r="J6" s="68"/>
      <c r="K6" s="55"/>
      <c r="L6" s="68"/>
      <c r="M6" s="55"/>
      <c r="N6" s="56"/>
      <c r="O6" s="68"/>
      <c r="P6" s="55"/>
      <c r="Q6" s="80"/>
    </row>
    <row r="7" spans="1:18">
      <c r="A7" s="57"/>
      <c r="B7" s="62"/>
      <c r="C7" s="59">
        <f ca="1">'Absetzung für Abnutzung'!E6-Kennzahlen!D7+Liquiditätsvorschau!Y7</f>
        <v>5071</v>
      </c>
      <c r="D7" s="74">
        <f ca="1">'Darlehen 1'!D4+'Darlehen 2'!D4+'Darlehen 3'!D4+IF(Konten!C8&lt;0,-Konten!C8,0)</f>
        <v>9999</v>
      </c>
      <c r="E7" s="62"/>
      <c r="F7" s="60"/>
      <c r="G7" s="74"/>
      <c r="H7" s="62"/>
      <c r="I7" s="58">
        <f t="shared" ref="I7:I38" ca="1" si="0">C7</f>
        <v>5071</v>
      </c>
      <c r="J7" s="75"/>
      <c r="K7" s="62"/>
      <c r="L7" s="74"/>
      <c r="M7" s="62"/>
      <c r="N7" s="58">
        <f ca="1">I7</f>
        <v>5071</v>
      </c>
      <c r="O7" s="75"/>
      <c r="P7" s="62"/>
      <c r="Q7" s="74"/>
    </row>
    <row r="8" spans="1:18">
      <c r="A8" s="57">
        <f>DATE(YEAR(Eingabe!E12),1,1)</f>
        <v>44197</v>
      </c>
      <c r="B8" s="58">
        <f ca="1">C8+D8</f>
        <v>8555.1783192133262</v>
      </c>
      <c r="C8" s="59">
        <f ca="1">C7+'Steuerliche Gewinnermittlung'!U8-'Steuerliche Gewinnermittlung'!F8-'Steuerliche Gewinnermittlung'!G8+'Steuerliche Gewinnermittlung'!Q8+Liquiditätsvorschau!F8+Liquiditätsvorschau!W8+Liquiditätsvorschau!X8</f>
        <v>-1332.1606555182962</v>
      </c>
      <c r="D8" s="74">
        <f ca="1">'Darlehen 1'!G20+'Darlehen 2'!G20+'Darlehen 3'!G20</f>
        <v>9887.3389747316214</v>
      </c>
      <c r="E8" s="76">
        <f ca="1">C8/B8</f>
        <v>-0.15571395543287661</v>
      </c>
      <c r="F8" s="63" t="str">
        <f ca="1">IF(C8&gt;0,D8/C8,"")</f>
        <v/>
      </c>
      <c r="G8" s="81">
        <f ca="1">D8/B8</f>
        <v>1.1557139554328766</v>
      </c>
      <c r="H8" s="58">
        <f t="shared" ref="H8:H38" ca="1" si="1">B8</f>
        <v>8555.1783192133262</v>
      </c>
      <c r="I8" s="58">
        <f t="shared" ca="1" si="0"/>
        <v>-1332.1606555182962</v>
      </c>
      <c r="J8" s="75">
        <f ca="1">Liquiditätsvorschau!Y8</f>
        <v>-2725.8216807866743</v>
      </c>
      <c r="K8" s="76" t="str">
        <f ca="1">IF(I8&gt;0,J8/I8,"")</f>
        <v/>
      </c>
      <c r="L8" s="81">
        <f ca="1">J8/H8</f>
        <v>-0.31861658273854909</v>
      </c>
      <c r="M8" s="58">
        <f ca="1">H8</f>
        <v>8555.1783192133262</v>
      </c>
      <c r="N8" s="58">
        <f ca="1">I8</f>
        <v>-1332.1606555182962</v>
      </c>
      <c r="O8" s="75">
        <f ca="1">'Steuerliche Gewinnermittlung'!U8</f>
        <v>-1645.168255507074</v>
      </c>
      <c r="P8" s="76" t="str">
        <f ca="1">IF(N8&gt;0,O8/N8,"")</f>
        <v/>
      </c>
      <c r="Q8" s="81">
        <f ca="1">(O8+'Steuerliche Gewinnermittlung'!S8)/M8</f>
        <v>-0.17672820051699312</v>
      </c>
    </row>
    <row r="9" spans="1:18">
      <c r="A9" s="57">
        <f>EDATE(A8,12)</f>
        <v>44562</v>
      </c>
      <c r="B9" s="58">
        <f t="shared" ref="B9:B38" ca="1" si="2">C9+D9</f>
        <v>8028.1296165476761</v>
      </c>
      <c r="C9" s="59">
        <f ca="1">C8+'Steuerliche Gewinnermittlung'!U9-'Steuerliche Gewinnermittlung'!F9-'Steuerliche Gewinnermittlung'!G9+'Steuerliche Gewinnermittlung'!Q9+Liquiditätsvorschau!F9+Liquiditätsvorschau!W9+Liquiditätsvorschau!X9</f>
        <v>-1185.49620239355</v>
      </c>
      <c r="D9" s="74">
        <f ca="1">'Darlehen 1'!G21+'Darlehen 2'!G21+'Darlehen 3'!G21</f>
        <v>9213.6258189412256</v>
      </c>
      <c r="E9" s="76">
        <f t="shared" ref="E9:E38" ca="1" si="3">C9/B9</f>
        <v>-0.14766779549124259</v>
      </c>
      <c r="F9" s="63" t="str">
        <f t="shared" ref="F9:F38" ca="1" si="4">IF(C9&gt;0,D9/C9,"")</f>
        <v/>
      </c>
      <c r="G9" s="81">
        <f t="shared" ref="G9:G38" ca="1" si="5">D9/B9</f>
        <v>1.1476677954912424</v>
      </c>
      <c r="H9" s="58">
        <f t="shared" ca="1" si="1"/>
        <v>8028.1296165476761</v>
      </c>
      <c r="I9" s="58">
        <f t="shared" ca="1" si="0"/>
        <v>-1185.49620239355</v>
      </c>
      <c r="J9" s="75">
        <f ca="1">Liquiditätsvorschau!Y9</f>
        <v>-122.04870266564944</v>
      </c>
      <c r="K9" s="76" t="str">
        <f t="shared" ref="K9:K38" ca="1" si="6">IF(I9&gt;0,J9/I9,"")</f>
        <v/>
      </c>
      <c r="L9" s="81">
        <f t="shared" ref="L9:L38" ca="1" si="7">J9/H9</f>
        <v>-1.5202632306045634E-2</v>
      </c>
      <c r="M9" s="58">
        <f t="shared" ref="M9:M38" ca="1" si="8">H9</f>
        <v>8028.1296165476761</v>
      </c>
      <c r="N9" s="58">
        <f t="shared" ref="N9:N38" ca="1" si="9">I9</f>
        <v>-1185.49620239355</v>
      </c>
      <c r="O9" s="75">
        <f ca="1">'Steuerliche Gewinnermittlung'!U9</f>
        <v>-82.055403382556165</v>
      </c>
      <c r="P9" s="76" t="str">
        <f t="shared" ref="P9:P38" ca="1" si="10">IF(N9&gt;0,O9/N9,"")</f>
        <v/>
      </c>
      <c r="Q9" s="81">
        <f ca="1">(O9+'Steuerliche Gewinnermittlung'!S9)/M9</f>
        <v>1.3642822933486523E-2</v>
      </c>
    </row>
    <row r="10" spans="1:18">
      <c r="A10" s="57">
        <f t="shared" ref="A10:A38" si="11">EDATE(A9,12)</f>
        <v>44927</v>
      </c>
      <c r="B10" s="58">
        <f t="shared" ca="1" si="2"/>
        <v>7501.5348913452672</v>
      </c>
      <c r="C10" s="59">
        <f ca="1">C9+'Steuerliche Gewinnermittlung'!U10-'Steuerliche Gewinnermittlung'!F10-'Steuerliche Gewinnermittlung'!G10+'Steuerliche Gewinnermittlung'!Q10+Liquiditätsvorschau!F10+Liquiditätsvorschau!W10+Liquiditätsvorschau!X10</f>
        <v>-1031.8608276824611</v>
      </c>
      <c r="D10" s="74">
        <f ca="1">'Darlehen 1'!G22+'Darlehen 2'!G22+'Darlehen 3'!G22</f>
        <v>8533.3957190277288</v>
      </c>
      <c r="E10" s="76">
        <f t="shared" ca="1" si="3"/>
        <v>-0.13755329310978054</v>
      </c>
      <c r="F10" s="63" t="str">
        <f t="shared" ca="1" si="4"/>
        <v/>
      </c>
      <c r="G10" s="77">
        <f t="shared" ca="1" si="5"/>
        <v>1.1375532931097805</v>
      </c>
      <c r="H10" s="58">
        <f t="shared" ca="1" si="1"/>
        <v>7501.5348913452672</v>
      </c>
      <c r="I10" s="58">
        <f t="shared" ca="1" si="0"/>
        <v>-1031.8608276824611</v>
      </c>
      <c r="J10" s="75">
        <f ca="1">Liquiditätsvorschau!Y10</f>
        <v>-121.59472520240809</v>
      </c>
      <c r="K10" s="76" t="str">
        <f t="shared" ca="1" si="6"/>
        <v/>
      </c>
      <c r="L10" s="77">
        <f t="shared" ca="1" si="7"/>
        <v>-1.6209312755806195E-2</v>
      </c>
      <c r="M10" s="58">
        <f t="shared" ca="1" si="8"/>
        <v>7501.5348913452672</v>
      </c>
      <c r="N10" s="58">
        <f t="shared" ca="1" si="9"/>
        <v>-1031.8608276824611</v>
      </c>
      <c r="O10" s="75">
        <f ca="1">'Steuerliche Gewinnermittlung'!U10</f>
        <v>-80.080024399863959</v>
      </c>
      <c r="P10" s="76" t="str">
        <f t="shared" ca="1" si="10"/>
        <v/>
      </c>
      <c r="Q10" s="81">
        <f ca="1">(O10+'Steuerliche Gewinnermittlung'!S10)/M10</f>
        <v>1.3059719779880595E-2</v>
      </c>
    </row>
    <row r="11" spans="1:18">
      <c r="A11" s="57">
        <f t="shared" si="11"/>
        <v>45292</v>
      </c>
      <c r="B11" s="58">
        <f t="shared" ca="1" si="2"/>
        <v>6976.3570595657784</v>
      </c>
      <c r="C11" s="59">
        <f ca="1">C10+'Steuerliche Gewinnermittlung'!U11-'Steuerliche Gewinnermittlung'!F11-'Steuerliche Gewinnermittlung'!G11+'Steuerliche Gewinnermittlung'!Q11+Liquiditätsvorschau!F11+Liquiditätsvorschau!W11+Liquiditätsvorschau!X11</f>
        <v>-870.16007510721431</v>
      </c>
      <c r="D11" s="74">
        <f ca="1">'Darlehen 1'!G23+'Darlehen 2'!G23+'Darlehen 3'!G23</f>
        <v>7846.5171346729931</v>
      </c>
      <c r="E11" s="76">
        <f t="shared" ca="1" si="3"/>
        <v>-0.12472986512553512</v>
      </c>
      <c r="F11" s="63" t="str">
        <f t="shared" ca="1" si="4"/>
        <v/>
      </c>
      <c r="G11" s="77">
        <f t="shared" ca="1" si="5"/>
        <v>1.1247298651255351</v>
      </c>
      <c r="H11" s="58">
        <f t="shared" ca="1" si="1"/>
        <v>6976.3570595657784</v>
      </c>
      <c r="I11" s="58">
        <f t="shared" ca="1" si="0"/>
        <v>-870.16007510721431</v>
      </c>
      <c r="J11" s="75">
        <f ca="1">Liquiditätsvorschau!Y11</f>
        <v>-120.17783177948888</v>
      </c>
      <c r="K11" s="76" t="str">
        <f t="shared" ca="1" si="6"/>
        <v/>
      </c>
      <c r="L11" s="77">
        <f t="shared" ca="1" si="7"/>
        <v>-1.722644508493219E-2</v>
      </c>
      <c r="M11" s="58">
        <f t="shared" ca="1" si="8"/>
        <v>6976.3570595657784</v>
      </c>
      <c r="N11" s="58">
        <f t="shared" ca="1" si="9"/>
        <v>-870.16007510721431</v>
      </c>
      <c r="O11" s="75">
        <f ca="1">'Steuerliche Gewinnermittlung'!U11</f>
        <v>-78.062338912662497</v>
      </c>
      <c r="P11" s="76" t="str">
        <f t="shared" ca="1" si="10"/>
        <v/>
      </c>
      <c r="Q11" s="81">
        <f ca="1">(O11+'Steuerliche Gewinnermittlung'!S11)/M11</f>
        <v>1.2373263266722523E-2</v>
      </c>
    </row>
    <row r="12" spans="1:18">
      <c r="A12" s="57">
        <f t="shared" si="11"/>
        <v>45658</v>
      </c>
      <c r="B12" s="58">
        <f t="shared" ca="1" si="2"/>
        <v>6451.5578985243301</v>
      </c>
      <c r="C12" s="59">
        <f ca="1">C11+'Steuerliche Gewinnermittlung'!U12-'Steuerliche Gewinnermittlung'!F12-'Steuerliche Gewinnermittlung'!G12+'Steuerliche Gewinnermittlung'!Q12+Liquiditätsvorschau!F12+Liquiditätsvorschau!W12+Liquiditätsvorschau!X12</f>
        <v>-701.29797197798302</v>
      </c>
      <c r="D12" s="74">
        <f ca="1">'Darlehen 1'!G24+'Darlehen 2'!G24+'Darlehen 3'!G24</f>
        <v>7152.8558705023133</v>
      </c>
      <c r="E12" s="76">
        <f t="shared" ca="1" si="3"/>
        <v>-0.10870211242131013</v>
      </c>
      <c r="F12" s="63" t="str">
        <f t="shared" ca="1" si="4"/>
        <v/>
      </c>
      <c r="G12" s="77">
        <f t="shared" ca="1" si="5"/>
        <v>1.1087021124213101</v>
      </c>
      <c r="H12" s="58">
        <f t="shared" ca="1" si="1"/>
        <v>6451.5578985243301</v>
      </c>
      <c r="I12" s="58">
        <f t="shared" ca="1" si="0"/>
        <v>-701.29797197798302</v>
      </c>
      <c r="J12" s="75">
        <f ca="1">Liquiditätsvorschau!Y12</f>
        <v>-119.79916104144831</v>
      </c>
      <c r="K12" s="76" t="str">
        <f t="shared" ca="1" si="6"/>
        <v/>
      </c>
      <c r="L12" s="77">
        <f t="shared" ca="1" si="7"/>
        <v>-1.8569028275922328E-2</v>
      </c>
      <c r="M12" s="58">
        <f t="shared" ca="1" si="8"/>
        <v>6451.5578985243301</v>
      </c>
      <c r="N12" s="58">
        <f t="shared" ca="1" si="9"/>
        <v>-701.29797197798302</v>
      </c>
      <c r="O12" s="75">
        <f ca="1">'Steuerliche Gewinnermittlung'!U12</f>
        <v>-76.001516006946815</v>
      </c>
      <c r="P12" s="76" t="str">
        <f t="shared" ca="1" si="10"/>
        <v/>
      </c>
      <c r="Q12" s="81">
        <f ca="1">(O12+'Steuerliche Gewinnermittlung'!S12)/M12</f>
        <v>1.1560247105932876E-2</v>
      </c>
    </row>
    <row r="13" spans="1:18">
      <c r="A13" s="57">
        <f t="shared" si="11"/>
        <v>46023</v>
      </c>
      <c r="B13" s="58">
        <f t="shared" ca="1" si="2"/>
        <v>6001.7502031571839</v>
      </c>
      <c r="C13" s="59">
        <f ca="1">C12+'Steuerliche Gewinnermittlung'!U13-'Steuerliche Gewinnermittlung'!F13-'Steuerliche Gewinnermittlung'!G13+'Steuerliche Gewinnermittlung'!Q13+Liquiditätsvorschau!F13+Liquiditätsvorschau!W13+Liquiditätsvorschau!X13</f>
        <v>-450.52481933662739</v>
      </c>
      <c r="D13" s="74">
        <f ca="1">'Darlehen 1'!G25+'Darlehen 2'!G25+'Darlehen 3'!G25</f>
        <v>6452.2750224938109</v>
      </c>
      <c r="E13" s="76">
        <f t="shared" ca="1" si="3"/>
        <v>-7.5065573222229676E-2</v>
      </c>
      <c r="F13" s="63" t="str">
        <f t="shared" ca="1" si="4"/>
        <v/>
      </c>
      <c r="G13" s="77">
        <f t="shared" ca="1" si="5"/>
        <v>1.0750655732222296</v>
      </c>
      <c r="H13" s="58">
        <f t="shared" ca="1" si="1"/>
        <v>6001.7502031571839</v>
      </c>
      <c r="I13" s="58">
        <f t="shared" ca="1" si="0"/>
        <v>-450.52481933662739</v>
      </c>
      <c r="J13" s="75">
        <f ca="1">Liquiditätsvorschau!Y13</f>
        <v>-150.45986928019022</v>
      </c>
      <c r="K13" s="76" t="str">
        <f t="shared" ca="1" si="6"/>
        <v/>
      </c>
      <c r="L13" s="77">
        <f t="shared" ca="1" si="7"/>
        <v>-2.5069332142654277E-2</v>
      </c>
      <c r="M13" s="58">
        <f t="shared" ca="1" si="8"/>
        <v>6001.7502031571839</v>
      </c>
      <c r="N13" s="58">
        <f t="shared" ca="1" si="9"/>
        <v>-450.52481933662739</v>
      </c>
      <c r="O13" s="75">
        <f ca="1">'Steuerliche Gewinnermittlung'!U13</f>
        <v>31.755474366071752</v>
      </c>
      <c r="P13" s="76" t="str">
        <f t="shared" ca="1" si="10"/>
        <v/>
      </c>
      <c r="Q13" s="81">
        <f ca="1">(O13+'Steuerliche Gewinnermittlung'!S13)/M13</f>
        <v>2.8058843213188085E-2</v>
      </c>
    </row>
    <row r="14" spans="1:18">
      <c r="A14" s="57">
        <f t="shared" si="11"/>
        <v>46388</v>
      </c>
      <c r="B14" s="58">
        <f t="shared" ca="1" si="2"/>
        <v>5552.2412463388546</v>
      </c>
      <c r="C14" s="59">
        <f ca="1">C13+'Steuerliche Gewinnermittlung'!U14-'Steuerliche Gewinnermittlung'!F14-'Steuerliche Gewinnermittlung'!G14+'Steuerliche Gewinnermittlung'!Q14+Liquiditätsvorschau!F14+Liquiditätsvorschau!W14+Liquiditätsvorschau!X14</f>
        <v>-192.39367696728129</v>
      </c>
      <c r="D14" s="74">
        <f ca="1">'Darlehen 1'!G26+'Darlehen 2'!G26+'Darlehen 3'!G26</f>
        <v>5744.6349233061355</v>
      </c>
      <c r="E14" s="76">
        <f t="shared" ca="1" si="3"/>
        <v>-3.465153411591141E-2</v>
      </c>
      <c r="F14" s="63" t="str">
        <f t="shared" ca="1" si="4"/>
        <v/>
      </c>
      <c r="G14" s="77">
        <f t="shared" ca="1" si="5"/>
        <v>1.0346515341159113</v>
      </c>
      <c r="H14" s="58">
        <f t="shared" ca="1" si="1"/>
        <v>5552.2412463388546</v>
      </c>
      <c r="I14" s="58">
        <f t="shared" ca="1" si="0"/>
        <v>-192.39367696728129</v>
      </c>
      <c r="J14" s="75">
        <f ca="1">Liquiditätsvorschau!Y14</f>
        <v>-150.16113073137285</v>
      </c>
      <c r="K14" s="76" t="str">
        <f t="shared" ca="1" si="6"/>
        <v/>
      </c>
      <c r="L14" s="77">
        <f t="shared" ca="1" si="7"/>
        <v>-2.7045138002673972E-2</v>
      </c>
      <c r="M14" s="58">
        <f t="shared" ca="1" si="8"/>
        <v>5552.2412463388546</v>
      </c>
      <c r="N14" s="58">
        <f t="shared" ca="1" si="9"/>
        <v>-192.39367696728129</v>
      </c>
      <c r="O14" s="75">
        <f ca="1">'Steuerliche Gewinnermittlung'!U14</f>
        <v>33.905166329653341</v>
      </c>
      <c r="P14" s="76" t="str">
        <f t="shared" ca="1" si="10"/>
        <v/>
      </c>
      <c r="Q14" s="81">
        <f ca="1">(O14+'Steuerliche Gewinnermittlung'!S14)/M14</f>
        <v>2.8182450958418377E-2</v>
      </c>
    </row>
    <row r="15" spans="1:18">
      <c r="A15" s="57">
        <f t="shared" si="11"/>
        <v>46753</v>
      </c>
      <c r="B15" s="58">
        <f t="shared" ca="1" si="2"/>
        <v>5102.989282376453</v>
      </c>
      <c r="C15" s="59">
        <f ca="1">C14+'Steuerliche Gewinnermittlung'!U15-'Steuerliche Gewinnermittlung'!F15-'Steuerliche Gewinnermittlung'!G15+'Steuerliche Gewinnermittlung'!Q15+Liquiditätsvorschau!F15+Liquiditätsvorschau!W15+Liquiditätsvorschau!X15</f>
        <v>73.19619587381078</v>
      </c>
      <c r="D15" s="74">
        <f ca="1">'Darlehen 1'!G27+'Darlehen 2'!G27+'Darlehen 3'!G27</f>
        <v>5029.7930865026419</v>
      </c>
      <c r="E15" s="76">
        <f t="shared" ca="1" si="3"/>
        <v>1.4343787890481996E-2</v>
      </c>
      <c r="F15" s="63">
        <f t="shared" ca="1" si="4"/>
        <v>68.716591435625091</v>
      </c>
      <c r="G15" s="77">
        <f t="shared" ca="1" si="5"/>
        <v>0.98565621210951793</v>
      </c>
      <c r="H15" s="58">
        <f t="shared" ca="1" si="1"/>
        <v>5102.989282376453</v>
      </c>
      <c r="I15" s="58">
        <f t="shared" ca="1" si="0"/>
        <v>73.19619587381078</v>
      </c>
      <c r="J15" s="75">
        <f ca="1">Liquiditätsvorschau!Y15</f>
        <v>-149.90413787544526</v>
      </c>
      <c r="K15" s="76">
        <f t="shared" ca="1" si="6"/>
        <v>-2.0479771671997531</v>
      </c>
      <c r="L15" s="77">
        <f t="shared" ca="1" si="7"/>
        <v>-2.9375750090863441E-2</v>
      </c>
      <c r="M15" s="58">
        <f t="shared" ca="1" si="8"/>
        <v>5102.989282376453</v>
      </c>
      <c r="N15" s="58">
        <f t="shared" ca="1" si="9"/>
        <v>73.19619587381078</v>
      </c>
      <c r="O15" s="75">
        <f ca="1">'Steuerliche Gewinnermittlung'!U15</f>
        <v>36.100642165061345</v>
      </c>
      <c r="P15" s="76">
        <f t="shared" ca="1" si="10"/>
        <v>0.49320380293121174</v>
      </c>
      <c r="Q15" s="81">
        <f ca="1">(O15+'Steuerliche Gewinnermittlung'!S15)/M15</f>
        <v>2.8307459560508307E-2</v>
      </c>
    </row>
    <row r="16" spans="1:18">
      <c r="A16" s="57">
        <f t="shared" si="11"/>
        <v>47119</v>
      </c>
      <c r="B16" s="58">
        <f t="shared" ca="1" si="2"/>
        <v>4653.9513545461068</v>
      </c>
      <c r="C16" s="59">
        <f ca="1">C15+'Steuerliche Gewinnermittlung'!U16-'Steuerliche Gewinnermittlung'!F16-'Steuerliche Gewinnermittlung'!G16+'Steuerliche Gewinnermittlung'!Q16+Liquiditätsvorschau!F16+Liquiditätsvorschau!W16+Liquiditätsvorschau!X16</f>
        <v>346.34720489634037</v>
      </c>
      <c r="D16" s="74">
        <f ca="1">'Darlehen 1'!G28+'Darlehen 2'!G28+'Darlehen 3'!G28</f>
        <v>4307.6041496497664</v>
      </c>
      <c r="E16" s="76">
        <f t="shared" ca="1" si="3"/>
        <v>7.4420031175877879E-2</v>
      </c>
      <c r="F16" s="63">
        <f t="shared" ca="1" si="4"/>
        <v>12.437242422496253</v>
      </c>
      <c r="G16" s="77">
        <f t="shared" ca="1" si="5"/>
        <v>0.92557996882412208</v>
      </c>
      <c r="H16" s="58">
        <f t="shared" ca="1" si="1"/>
        <v>4653.9513545461068</v>
      </c>
      <c r="I16" s="58">
        <f t="shared" ca="1" si="0"/>
        <v>346.34720489634037</v>
      </c>
      <c r="J16" s="75">
        <f ca="1">Liquiditätsvorschau!Y16</f>
        <v>-149.69010174338894</v>
      </c>
      <c r="K16" s="76">
        <f t="shared" ca="1" si="6"/>
        <v>-0.432196650145308</v>
      </c>
      <c r="L16" s="77">
        <f t="shared" ca="1" si="7"/>
        <v>-3.2164088177923808E-2</v>
      </c>
      <c r="M16" s="58">
        <f t="shared" ca="1" si="8"/>
        <v>4653.9513545461068</v>
      </c>
      <c r="N16" s="58">
        <f t="shared" ca="1" si="9"/>
        <v>346.34720489634037</v>
      </c>
      <c r="O16" s="75">
        <f ca="1">'Steuerliche Gewinnermittlung'!U16</f>
        <v>38.342837278354011</v>
      </c>
      <c r="P16" s="76">
        <f t="shared" ca="1" si="10"/>
        <v>0.11070635690514607</v>
      </c>
      <c r="Q16" s="81">
        <f ca="1">(O16+'Steuerliche Gewinnermittlung'!S16)/M16</f>
        <v>2.8434099462161903E-2</v>
      </c>
    </row>
    <row r="17" spans="1:17">
      <c r="A17" s="57">
        <f t="shared" si="11"/>
        <v>47484</v>
      </c>
      <c r="B17" s="58">
        <f t="shared" ca="1" si="2"/>
        <v>4206.0832762319205</v>
      </c>
      <c r="C17" s="59">
        <f ca="1">C16+'Steuerliche Gewinnermittlung'!U17-'Steuerliche Gewinnermittlung'!F17-'Steuerliche Gewinnermittlung'!G17+'Steuerliche Gewinnermittlung'!Q17+Liquiditätsvorschau!F17+Liquiditätsvorschau!W17+Liquiditätsvorschau!X17</f>
        <v>628.16345996503435</v>
      </c>
      <c r="D17" s="74">
        <f ca="1">'Darlehen 1'!G29+'Darlehen 2'!G29+'Darlehen 3'!G29</f>
        <v>3577.9198162668863</v>
      </c>
      <c r="E17" s="76">
        <f t="shared" ca="1" si="3"/>
        <v>0.14934641534909968</v>
      </c>
      <c r="F17" s="63">
        <f t="shared" ca="1" si="4"/>
        <v>5.6958419970274061</v>
      </c>
      <c r="G17" s="77">
        <f t="shared" ca="1" si="5"/>
        <v>0.85065358465090035</v>
      </c>
      <c r="H17" s="58">
        <f t="shared" ca="1" si="1"/>
        <v>4206.0832762319205</v>
      </c>
      <c r="I17" s="58">
        <f t="shared" ca="1" si="0"/>
        <v>628.16345996503435</v>
      </c>
      <c r="J17" s="75">
        <f ca="1">Liquiditätsvorschau!Y17</f>
        <v>-148.52025222722978</v>
      </c>
      <c r="K17" s="76">
        <f t="shared" ca="1" si="6"/>
        <v>-0.23643567589158546</v>
      </c>
      <c r="L17" s="77">
        <f t="shared" ca="1" si="7"/>
        <v>-3.5310820655049834E-2</v>
      </c>
      <c r="M17" s="58">
        <f t="shared" ca="1" si="8"/>
        <v>4206.0832762319205</v>
      </c>
      <c r="N17" s="58">
        <f t="shared" ca="1" si="9"/>
        <v>628.16345996503435</v>
      </c>
      <c r="O17" s="75">
        <f ca="1">'Steuerliche Gewinnermittlung'!U17</f>
        <v>40.632714746395976</v>
      </c>
      <c r="P17" s="76">
        <f t="shared" ca="1" si="10"/>
        <v>6.4684938453213645E-2</v>
      </c>
      <c r="Q17" s="81">
        <f ca="1">(O17+'Steuerliche Gewinnermittlung'!S17)/M17</f>
        <v>2.8555914529491071E-2</v>
      </c>
    </row>
    <row r="18" spans="1:17">
      <c r="A18" s="57">
        <f t="shared" si="11"/>
        <v>47849</v>
      </c>
      <c r="B18" s="58">
        <f t="shared" ca="1" si="2"/>
        <v>816.80954371449991</v>
      </c>
      <c r="C18" s="59">
        <f ca="1">C17+'Steuerliche Gewinnermittlung'!U18-'Steuerliche Gewinnermittlung'!F18-'Steuerliche Gewinnermittlung'!G18+'Steuerliche Gewinnermittlung'!Q18+Liquiditätsvorschau!F18+Liquiditätsvorschau!W18+Liquiditätsvorschau!X18</f>
        <v>816.80954371450048</v>
      </c>
      <c r="D18" s="74">
        <f ca="1">'Darlehen 1'!G30+'Darlehen 2'!G30+'Darlehen 3'!G30</f>
        <v>-5.9685589803848416E-13</v>
      </c>
      <c r="E18" s="76">
        <f t="shared" ca="1" si="3"/>
        <v>1.0000000000000007</v>
      </c>
      <c r="F18" s="63">
        <f t="shared" ca="1" si="4"/>
        <v>-7.3071611691048413E-16</v>
      </c>
      <c r="G18" s="77">
        <f t="shared" ca="1" si="5"/>
        <v>-7.3071611691048472E-16</v>
      </c>
      <c r="H18" s="58">
        <f t="shared" ca="1" si="1"/>
        <v>816.80954371449991</v>
      </c>
      <c r="I18" s="58">
        <f t="shared" ca="1" si="0"/>
        <v>816.80954371450048</v>
      </c>
      <c r="J18" s="75">
        <f ca="1">Liquiditätsvorschau!Y18</f>
        <v>-3089.9259064304638</v>
      </c>
      <c r="K18" s="76">
        <f t="shared" ca="1" si="6"/>
        <v>-3.782920914928102</v>
      </c>
      <c r="L18" s="77">
        <f t="shared" ca="1" si="7"/>
        <v>-3.7829209149281047</v>
      </c>
      <c r="M18" s="58">
        <f t="shared" ca="1" si="8"/>
        <v>816.80954371449991</v>
      </c>
      <c r="N18" s="58">
        <f t="shared" ca="1" si="9"/>
        <v>816.80954371450048</v>
      </c>
      <c r="O18" s="75">
        <f ca="1">'Steuerliche Gewinnermittlung'!U18</f>
        <v>-121.28427910563195</v>
      </c>
      <c r="P18" s="76">
        <f t="shared" ca="1" si="10"/>
        <v>-0.14848538443133624</v>
      </c>
      <c r="Q18" s="81">
        <f ca="1">(O18+'Steuerliche Gewinnermittlung'!S18)/M18</f>
        <v>-0.12003206457013085</v>
      </c>
    </row>
    <row r="19" spans="1:17">
      <c r="A19" s="57">
        <f t="shared" si="11"/>
        <v>48214</v>
      </c>
      <c r="B19" s="58">
        <f t="shared" ca="1" si="2"/>
        <v>1054.3973031474936</v>
      </c>
      <c r="C19" s="59">
        <f ca="1">C18+'Steuerliche Gewinnermittlung'!U19-'Steuerliche Gewinnermittlung'!F19-'Steuerliche Gewinnermittlung'!G19+'Steuerliche Gewinnermittlung'!Q19+Liquiditätsvorschau!F19+Liquiditätsvorschau!W19+Liquiditätsvorschau!X19</f>
        <v>1054.3973031474943</v>
      </c>
      <c r="D19" s="74">
        <f ca="1">'Darlehen 1'!G31+'Darlehen 2'!G31+'Darlehen 3'!G31</f>
        <v>-5.9685589803848416E-13</v>
      </c>
      <c r="E19" s="76">
        <f t="shared" ca="1" si="3"/>
        <v>1.0000000000000007</v>
      </c>
      <c r="F19" s="63">
        <f t="shared" ca="1" si="4"/>
        <v>-5.6606356660511394E-16</v>
      </c>
      <c r="G19" s="77">
        <f t="shared" ca="1" si="5"/>
        <v>-5.6606356660511434E-16</v>
      </c>
      <c r="H19" s="58">
        <f t="shared" ca="1" si="1"/>
        <v>1054.3973031474936</v>
      </c>
      <c r="I19" s="58">
        <f t="shared" ca="1" si="0"/>
        <v>1054.3973031474943</v>
      </c>
      <c r="J19" s="75">
        <f ca="1">Liquiditätsvorschau!Y19</f>
        <v>536.93558551995034</v>
      </c>
      <c r="K19" s="76">
        <f t="shared" ca="1" si="6"/>
        <v>0.50923459678542171</v>
      </c>
      <c r="L19" s="77">
        <f t="shared" ca="1" si="7"/>
        <v>0.50923459678542204</v>
      </c>
      <c r="M19" s="58">
        <f t="shared" ca="1" si="8"/>
        <v>1054.3973031474936</v>
      </c>
      <c r="N19" s="58">
        <f t="shared" ca="1" si="9"/>
        <v>1054.3973031474943</v>
      </c>
      <c r="O19" s="75">
        <f ca="1">'Steuerliche Gewinnermittlung'!U19</f>
        <v>-58.517711655861405</v>
      </c>
      <c r="P19" s="76">
        <f t="shared" ca="1" si="10"/>
        <v>-5.5498730394301525E-2</v>
      </c>
      <c r="Q19" s="81">
        <f ca="1">(O19+'Steuerliche Gewinnermittlung'!S19)/M19</f>
        <v>-5.5498730394301567E-2</v>
      </c>
    </row>
    <row r="20" spans="1:17">
      <c r="A20" s="57">
        <f t="shared" si="11"/>
        <v>48580</v>
      </c>
      <c r="B20" s="58">
        <f t="shared" ca="1" si="2"/>
        <v>1327.1508661955713</v>
      </c>
      <c r="C20" s="59">
        <f ca="1">C19+'Steuerliche Gewinnermittlung'!U20-'Steuerliche Gewinnermittlung'!F20-'Steuerliche Gewinnermittlung'!G20+'Steuerliche Gewinnermittlung'!Q20+Liquiditätsvorschau!F20+Liquiditätsvorschau!W20+Liquiditätsvorschau!X20</f>
        <v>1327.150866195572</v>
      </c>
      <c r="D20" s="74">
        <f ca="1">'Darlehen 1'!G32+'Darlehen 2'!G32+'Darlehen 3'!G32</f>
        <v>-5.9685589803848416E-13</v>
      </c>
      <c r="E20" s="76">
        <f t="shared" ca="1" si="3"/>
        <v>1.0000000000000004</v>
      </c>
      <c r="F20" s="63">
        <f t="shared" ca="1" si="4"/>
        <v>-4.4972724144726593E-16</v>
      </c>
      <c r="G20" s="77">
        <f t="shared" ca="1" si="5"/>
        <v>-4.4972724144726622E-16</v>
      </c>
      <c r="H20" s="58">
        <f t="shared" ca="1" si="1"/>
        <v>1327.1508661955713</v>
      </c>
      <c r="I20" s="58">
        <f t="shared" ca="1" si="0"/>
        <v>1327.150866195572</v>
      </c>
      <c r="J20" s="75">
        <f ca="1">Liquiditätsvorschau!Y20</f>
        <v>572.1013891350342</v>
      </c>
      <c r="K20" s="76">
        <f t="shared" ca="1" si="6"/>
        <v>0.43107487152159835</v>
      </c>
      <c r="L20" s="77">
        <f t="shared" ca="1" si="7"/>
        <v>0.43107487152159857</v>
      </c>
      <c r="M20" s="58">
        <f t="shared" ca="1" si="8"/>
        <v>1327.1508661955713</v>
      </c>
      <c r="N20" s="58">
        <f t="shared" ca="1" si="9"/>
        <v>1327.150866195572</v>
      </c>
      <c r="O20" s="75">
        <f ca="1">'Steuerliche Gewinnermittlung'!U20</f>
        <v>-10.906057845891439</v>
      </c>
      <c r="P20" s="76">
        <f t="shared" ca="1" si="10"/>
        <v>-8.2176473856019755E-3</v>
      </c>
      <c r="Q20" s="81">
        <f ca="1">(O20+'Steuerliche Gewinnermittlung'!S20)/M20</f>
        <v>-8.217647385601979E-3</v>
      </c>
    </row>
    <row r="21" spans="1:17">
      <c r="A21" s="57">
        <f t="shared" si="11"/>
        <v>48945</v>
      </c>
      <c r="B21" s="58">
        <f t="shared" ca="1" si="2"/>
        <v>1636.6964550618932</v>
      </c>
      <c r="C21" s="59">
        <f ca="1">C20+'Steuerliche Gewinnermittlung'!U21-'Steuerliche Gewinnermittlung'!F21-'Steuerliche Gewinnermittlung'!G21+'Steuerliche Gewinnermittlung'!Q21+Liquiditätsvorschau!F21+Liquiditätsvorschau!W21+Liquiditätsvorschau!X21</f>
        <v>1636.6964550618939</v>
      </c>
      <c r="D21" s="74">
        <f ca="1">'Darlehen 1'!G33+'Darlehen 2'!G33+'Darlehen 3'!G33</f>
        <v>-5.9685589803848416E-13</v>
      </c>
      <c r="E21" s="76">
        <f t="shared" ca="1" si="3"/>
        <v>1.0000000000000004</v>
      </c>
      <c r="F21" s="63">
        <f t="shared" ca="1" si="4"/>
        <v>-3.6467110085841375E-16</v>
      </c>
      <c r="G21" s="77">
        <f t="shared" ca="1" si="5"/>
        <v>-3.646711008584139E-16</v>
      </c>
      <c r="H21" s="58">
        <f t="shared" ca="1" si="1"/>
        <v>1636.6964550618932</v>
      </c>
      <c r="I21" s="58">
        <f t="shared" ca="1" si="0"/>
        <v>1636.6964550618939</v>
      </c>
      <c r="J21" s="75">
        <f ca="1">Liquiditätsvorschau!Y21</f>
        <v>608.89341495327824</v>
      </c>
      <c r="K21" s="76">
        <f t="shared" ca="1" si="6"/>
        <v>0.37202586531554022</v>
      </c>
      <c r="L21" s="77">
        <f t="shared" ca="1" si="7"/>
        <v>0.37202586531554038</v>
      </c>
      <c r="M21" s="58">
        <f t="shared" ca="1" si="8"/>
        <v>1636.6964550618932</v>
      </c>
      <c r="N21" s="58">
        <f t="shared" ca="1" si="9"/>
        <v>1636.6964550618939</v>
      </c>
      <c r="O21" s="75">
        <f ca="1">'Steuerliche Gewinnermittlung'!U21</f>
        <v>40.304434310354992</v>
      </c>
      <c r="P21" s="76">
        <f t="shared" ca="1" si="10"/>
        <v>2.4625479077506052E-2</v>
      </c>
      <c r="Q21" s="81">
        <f ca="1">(O21+'Steuerliche Gewinnermittlung'!S21)/M21</f>
        <v>2.4625479077506063E-2</v>
      </c>
    </row>
    <row r="22" spans="1:17">
      <c r="A22" s="57">
        <f t="shared" si="11"/>
        <v>49310</v>
      </c>
      <c r="B22" s="58">
        <f t="shared" ca="1" si="2"/>
        <v>1961.0463810937072</v>
      </c>
      <c r="C22" s="59">
        <f ca="1">C21+'Steuerliche Gewinnermittlung'!U22-'Steuerliche Gewinnermittlung'!F22-'Steuerliche Gewinnermittlung'!G22+'Steuerliche Gewinnermittlung'!Q22+Liquiditätsvorschau!F22+Liquiditätsvorschau!W22+Liquiditätsvorschau!X22</f>
        <v>1961.0463810937079</v>
      </c>
      <c r="D22" s="74">
        <f ca="1">'Darlehen 1'!G34+'Darlehen 2'!G34+'Darlehen 3'!G34</f>
        <v>-5.9685589803848416E-13</v>
      </c>
      <c r="E22" s="76">
        <f t="shared" ca="1" si="3"/>
        <v>1.0000000000000004</v>
      </c>
      <c r="F22" s="63">
        <f t="shared" ca="1" si="4"/>
        <v>-3.0435582951669292E-16</v>
      </c>
      <c r="G22" s="77">
        <f t="shared" ca="1" si="5"/>
        <v>-3.0435582951669302E-16</v>
      </c>
      <c r="H22" s="58">
        <f t="shared" ca="1" si="1"/>
        <v>1961.0463810937072</v>
      </c>
      <c r="I22" s="58">
        <f t="shared" ca="1" si="0"/>
        <v>1961.0463810937079</v>
      </c>
      <c r="J22" s="75">
        <f ca="1">Liquiditätsvorschau!Y22</f>
        <v>623.6977521187705</v>
      </c>
      <c r="K22" s="76">
        <f t="shared" ca="1" si="6"/>
        <v>0.31804334570145354</v>
      </c>
      <c r="L22" s="77">
        <f t="shared" ca="1" si="7"/>
        <v>0.31804334570145365</v>
      </c>
      <c r="M22" s="58">
        <f t="shared" ca="1" si="8"/>
        <v>1961.0463810937072</v>
      </c>
      <c r="N22" s="58">
        <f t="shared" ca="1" si="9"/>
        <v>1961.0463810937079</v>
      </c>
      <c r="O22" s="75">
        <f ca="1">'Steuerliche Gewinnermittlung'!U22</f>
        <v>56.499700538384332</v>
      </c>
      <c r="P22" s="76">
        <f t="shared" ca="1" si="10"/>
        <v>2.8810996559333554E-2</v>
      </c>
      <c r="Q22" s="81">
        <f ca="1">(O22+'Steuerliche Gewinnermittlung'!S22)/M22</f>
        <v>2.8810996559333564E-2</v>
      </c>
    </row>
    <row r="23" spans="1:17">
      <c r="A23" s="57">
        <f t="shared" si="11"/>
        <v>49675</v>
      </c>
      <c r="B23" s="58">
        <f t="shared" ca="1" si="2"/>
        <v>2282.2572705270036</v>
      </c>
      <c r="C23" s="59">
        <f ca="1">C22+'Steuerliche Gewinnermittlung'!U23-'Steuerliche Gewinnermittlung'!F23-'Steuerliche Gewinnermittlung'!G23+'Steuerliche Gewinnermittlung'!Q23+Liquiditätsvorschau!F23+Liquiditätsvorschau!W23+Liquiditätsvorschau!X23</f>
        <v>2282.257270527004</v>
      </c>
      <c r="D23" s="74">
        <f ca="1">'Darlehen 1'!G35+'Darlehen 2'!G35+'Darlehen 3'!G35</f>
        <v>-5.9685589803848416E-13</v>
      </c>
      <c r="E23" s="76">
        <f t="shared" ca="1" si="3"/>
        <v>1.0000000000000002</v>
      </c>
      <c r="F23" s="63">
        <f t="shared" ca="1" si="4"/>
        <v>-2.6151998976901587E-16</v>
      </c>
      <c r="G23" s="77">
        <f t="shared" ca="1" si="5"/>
        <v>-2.6151998976901592E-16</v>
      </c>
      <c r="H23" s="58">
        <f t="shared" ca="1" si="1"/>
        <v>2282.2572705270036</v>
      </c>
      <c r="I23" s="58">
        <f t="shared" ca="1" si="0"/>
        <v>2282.257270527004</v>
      </c>
      <c r="J23" s="75">
        <f ca="1">Liquiditätsvorschau!Y23</f>
        <v>620.55871552025258</v>
      </c>
      <c r="K23" s="76">
        <f t="shared" ca="1" si="6"/>
        <v>0.27190568019395867</v>
      </c>
      <c r="L23" s="77">
        <f t="shared" ca="1" si="7"/>
        <v>0.27190568019395872</v>
      </c>
      <c r="M23" s="58">
        <f t="shared" ca="1" si="8"/>
        <v>2282.2572705270036</v>
      </c>
      <c r="N23" s="58">
        <f t="shared" ca="1" si="9"/>
        <v>2282.257270527004</v>
      </c>
      <c r="O23" s="75">
        <f ca="1">'Steuerliche Gewinnermittlung'!U23</f>
        <v>46.723902561172267</v>
      </c>
      <c r="P23" s="76">
        <f t="shared" ca="1" si="10"/>
        <v>2.0472671142102699E-2</v>
      </c>
      <c r="Q23" s="81">
        <f ca="1">(O23+'Steuerliche Gewinnermittlung'!S23)/M23</f>
        <v>2.0472671142102702E-2</v>
      </c>
    </row>
    <row r="24" spans="1:17">
      <c r="A24" s="57">
        <f t="shared" si="11"/>
        <v>50041</v>
      </c>
      <c r="B24" s="58">
        <f t="shared" ca="1" si="2"/>
        <v>2601.2757722715501</v>
      </c>
      <c r="C24" s="59">
        <f ca="1">C23+'Steuerliche Gewinnermittlung'!U24-'Steuerliche Gewinnermittlung'!F24-'Steuerliche Gewinnermittlung'!G24+'Steuerliche Gewinnermittlung'!Q24+Liquiditätsvorschau!F24+Liquiditätsvorschau!W24+Liquiditätsvorschau!X24</f>
        <v>2601.2757722715505</v>
      </c>
      <c r="D24" s="74">
        <f ca="1">'Darlehen 1'!G36+'Darlehen 2'!G36+'Darlehen 3'!G36</f>
        <v>-5.9685589803848416E-13</v>
      </c>
      <c r="E24" s="76">
        <f t="shared" ca="1" si="3"/>
        <v>1.0000000000000002</v>
      </c>
      <c r="F24" s="63">
        <f t="shared" ca="1" si="4"/>
        <v>-2.2944737516902443E-16</v>
      </c>
      <c r="G24" s="77">
        <f t="shared" ca="1" si="5"/>
        <v>-2.2944737516902443E-16</v>
      </c>
      <c r="H24" s="58">
        <f t="shared" ca="1" si="1"/>
        <v>2601.2757722715501</v>
      </c>
      <c r="I24" s="58">
        <f t="shared" ca="1" si="0"/>
        <v>2601.2757722715505</v>
      </c>
      <c r="J24" s="75">
        <f ca="1">Liquiditätsvorschau!Y24</f>
        <v>618.36632783150333</v>
      </c>
      <c r="K24" s="76">
        <f t="shared" ca="1" si="6"/>
        <v>0.23771655985997908</v>
      </c>
      <c r="L24" s="77">
        <f t="shared" ca="1" si="7"/>
        <v>0.23771655985997911</v>
      </c>
      <c r="M24" s="58">
        <f t="shared" ca="1" si="8"/>
        <v>2601.2757722715501</v>
      </c>
      <c r="N24" s="58">
        <f t="shared" ca="1" si="9"/>
        <v>2601.2757722715505</v>
      </c>
      <c r="O24" s="75">
        <f ca="1">'Steuerliche Gewinnermittlung'!U24</f>
        <v>36.866910168684782</v>
      </c>
      <c r="P24" s="76">
        <f t="shared" ca="1" si="10"/>
        <v>1.4172626586411845E-2</v>
      </c>
      <c r="Q24" s="81">
        <f ca="1">(O24+'Steuerliche Gewinnermittlung'!S24)/M24</f>
        <v>1.4172626586411849E-2</v>
      </c>
    </row>
    <row r="25" spans="1:17">
      <c r="A25" s="57">
        <f t="shared" si="11"/>
        <v>50406</v>
      </c>
      <c r="B25" s="58">
        <f t="shared" ca="1" si="2"/>
        <v>2917.0471426801414</v>
      </c>
      <c r="C25" s="59">
        <f ca="1">C24+'Steuerliche Gewinnermittlung'!U25-'Steuerliche Gewinnermittlung'!F25-'Steuerliche Gewinnermittlung'!G25+'Steuerliche Gewinnermittlung'!Q25+Liquiditätsvorschau!F25+Liquiditätsvorschau!W25+Liquiditätsvorschau!X25</f>
        <v>2917.0471426801419</v>
      </c>
      <c r="D25" s="74">
        <f ca="1">'Darlehen 1'!G37+'Darlehen 2'!G37+'Darlehen 3'!G37</f>
        <v>-5.9685589803848416E-13</v>
      </c>
      <c r="E25" s="76">
        <f t="shared" ca="1" si="3"/>
        <v>1.0000000000000002</v>
      </c>
      <c r="F25" s="63">
        <f t="shared" ca="1" si="4"/>
        <v>-2.0460961679560014E-16</v>
      </c>
      <c r="G25" s="77">
        <f t="shared" ca="1" si="5"/>
        <v>-2.0460961679560017E-16</v>
      </c>
      <c r="H25" s="58">
        <f t="shared" ca="1" si="1"/>
        <v>2917.0471426801414</v>
      </c>
      <c r="I25" s="58">
        <f t="shared" ca="1" si="0"/>
        <v>2917.0471426801419</v>
      </c>
      <c r="J25" s="75">
        <f ca="1">Liquiditätsvorschau!Y25</f>
        <v>615.11919649554784</v>
      </c>
      <c r="K25" s="76">
        <f t="shared" ca="1" si="6"/>
        <v>0.21087050239797803</v>
      </c>
      <c r="L25" s="77">
        <f t="shared" ca="1" si="7"/>
        <v>0.21087050239797808</v>
      </c>
      <c r="M25" s="58">
        <f t="shared" ca="1" si="8"/>
        <v>2917.0471426801414</v>
      </c>
      <c r="N25" s="58">
        <f t="shared" ca="1" si="9"/>
        <v>2917.0471426801419</v>
      </c>
      <c r="O25" s="75">
        <f ca="1">'Steuerliche Gewinnermittlung'!U25</f>
        <v>26.927178231921317</v>
      </c>
      <c r="P25" s="76">
        <f t="shared" ca="1" si="10"/>
        <v>9.2309712235850282E-3</v>
      </c>
      <c r="Q25" s="81">
        <f ca="1">(O25+'Steuerliche Gewinnermittlung'!S25)/M25</f>
        <v>9.2309712235850282E-3</v>
      </c>
    </row>
    <row r="26" spans="1:17">
      <c r="A26" s="57">
        <f t="shared" si="11"/>
        <v>50771</v>
      </c>
      <c r="B26" s="58">
        <f t="shared" ca="1" si="2"/>
        <v>3230.515223665408</v>
      </c>
      <c r="C26" s="59">
        <f ca="1">C25+'Steuerliche Gewinnermittlung'!U26-'Steuerliche Gewinnermittlung'!F26-'Steuerliche Gewinnermittlung'!G26+'Steuerliche Gewinnermittlung'!Q26+Liquiditätsvorschau!F26+Liquiditätsvorschau!W26+Liquiditätsvorschau!X26</f>
        <v>3230.5152236654085</v>
      </c>
      <c r="D26" s="74">
        <f ca="1">'Darlehen 1'!G38+'Darlehen 2'!G38+'Darlehen 3'!G38</f>
        <v>-5.9685589803848416E-13</v>
      </c>
      <c r="E26" s="76">
        <f t="shared" ca="1" si="3"/>
        <v>1.0000000000000002</v>
      </c>
      <c r="F26" s="63">
        <f t="shared" ca="1" si="4"/>
        <v>-1.8475563701609158E-16</v>
      </c>
      <c r="G26" s="77">
        <f t="shared" ca="1" si="5"/>
        <v>-1.8475563701609161E-16</v>
      </c>
      <c r="H26" s="58">
        <f t="shared" ca="1" si="1"/>
        <v>3230.515223665408</v>
      </c>
      <c r="I26" s="58">
        <f t="shared" ca="1" si="0"/>
        <v>3230.5152236654085</v>
      </c>
      <c r="J26" s="75">
        <f ca="1">Liquiditätsvorschau!Y26</f>
        <v>612.8159070722229</v>
      </c>
      <c r="K26" s="76">
        <f t="shared" ca="1" si="6"/>
        <v>0.18969602823196402</v>
      </c>
      <c r="L26" s="77">
        <f t="shared" ca="1" si="7"/>
        <v>0.18969602823196405</v>
      </c>
      <c r="M26" s="58">
        <f t="shared" ca="1" si="8"/>
        <v>3230.515223665408</v>
      </c>
      <c r="N26" s="58">
        <f t="shared" ca="1" si="9"/>
        <v>3230.5152236654085</v>
      </c>
      <c r="O26" s="75">
        <f ca="1">'Steuerliche Gewinnermittlung'!U26</f>
        <v>16.903140081009298</v>
      </c>
      <c r="P26" s="76">
        <f t="shared" ca="1" si="10"/>
        <v>5.2323356835417261E-3</v>
      </c>
      <c r="Q26" s="81">
        <f ca="1">(O26+'Steuerliche Gewinnermittlung'!S26)/M26</f>
        <v>5.232335683541727E-3</v>
      </c>
    </row>
    <row r="27" spans="1:17">
      <c r="A27" s="57">
        <f t="shared" si="11"/>
        <v>51136</v>
      </c>
      <c r="B27" s="58">
        <f t="shared" ca="1" si="2"/>
        <v>3540.622420454089</v>
      </c>
      <c r="C27" s="59">
        <f ca="1">C26+'Steuerliche Gewinnermittlung'!U27-'Steuerliche Gewinnermittlung'!F27-'Steuerliche Gewinnermittlung'!G27+'Steuerliche Gewinnermittlung'!Q27+Liquiditätsvorschau!F27+Liquiditätsvorschau!W27+Liquiditätsvorschau!X27</f>
        <v>3540.6224204540895</v>
      </c>
      <c r="D27" s="74">
        <f ca="1">'Darlehen 1'!G39+'Darlehen 2'!G39+'Darlehen 3'!G39</f>
        <v>-5.9685589803848416E-13</v>
      </c>
      <c r="E27" s="76">
        <f t="shared" ca="1" si="3"/>
        <v>1.0000000000000002</v>
      </c>
      <c r="F27" s="63">
        <f t="shared" ca="1" si="4"/>
        <v>-1.6857372155541415E-16</v>
      </c>
      <c r="G27" s="77">
        <f t="shared" ca="1" si="5"/>
        <v>-1.6857372155541417E-16</v>
      </c>
      <c r="H27" s="58">
        <f t="shared" ca="1" si="1"/>
        <v>3540.622420454089</v>
      </c>
      <c r="I27" s="58">
        <f t="shared" ca="1" si="0"/>
        <v>3540.6224204540895</v>
      </c>
      <c r="J27" s="75">
        <f ca="1">Liquiditätsvorschau!Y27</f>
        <v>609.45502287563772</v>
      </c>
      <c r="K27" s="76">
        <f t="shared" ca="1" si="6"/>
        <v>0.172132170703894</v>
      </c>
      <c r="L27" s="77">
        <f t="shared" ca="1" si="7"/>
        <v>0.17213217070389403</v>
      </c>
      <c r="M27" s="58">
        <f t="shared" ca="1" si="8"/>
        <v>3540.622420454089</v>
      </c>
      <c r="N27" s="58">
        <f t="shared" ca="1" si="9"/>
        <v>3540.6224204540895</v>
      </c>
      <c r="O27" s="75">
        <f ca="1">'Steuerliche Gewinnermittlung'!U27</f>
        <v>6.7932071739118953</v>
      </c>
      <c r="P27" s="76">
        <f t="shared" ca="1" si="10"/>
        <v>1.9186477311637928E-3</v>
      </c>
      <c r="Q27" s="81">
        <f ca="1">(O27+'Steuerliche Gewinnermittlung'!S27)/M27</f>
        <v>1.918647731163793E-3</v>
      </c>
    </row>
    <row r="28" spans="1:17">
      <c r="A28" s="57">
        <f t="shared" si="11"/>
        <v>51502</v>
      </c>
      <c r="B28" s="58">
        <f t="shared" ca="1" si="2"/>
        <v>4004.874896364413</v>
      </c>
      <c r="C28" s="59">
        <f ca="1">C27+'Steuerliche Gewinnermittlung'!U28-'Steuerliche Gewinnermittlung'!F28-'Steuerliche Gewinnermittlung'!G28+'Steuerliche Gewinnermittlung'!Q28+Liquiditätsvorschau!F28+Liquiditätsvorschau!W28+Liquiditätsvorschau!X28</f>
        <v>4004.8748963644134</v>
      </c>
      <c r="D28" s="74">
        <f ca="1">'Darlehen 1'!G40+'Darlehen 2'!G40+'Darlehen 3'!G40</f>
        <v>-5.9685589803848416E-13</v>
      </c>
      <c r="E28" s="76">
        <f t="shared" ca="1" si="3"/>
        <v>1.0000000000000002</v>
      </c>
      <c r="F28" s="63">
        <f t="shared" ca="1" si="4"/>
        <v>-1.4903234520017195E-16</v>
      </c>
      <c r="G28" s="77">
        <f t="shared" ca="1" si="5"/>
        <v>-1.4903234520017198E-16</v>
      </c>
      <c r="H28" s="58">
        <f t="shared" ca="1" si="1"/>
        <v>4004.874896364413</v>
      </c>
      <c r="I28" s="58">
        <f t="shared" ca="1" si="0"/>
        <v>4004.8748963644134</v>
      </c>
      <c r="J28" s="75">
        <f ca="1">Liquiditätsvorschau!Y28</f>
        <v>564.03508460597652</v>
      </c>
      <c r="K28" s="76">
        <f t="shared" ca="1" si="6"/>
        <v>0.14083712954879118</v>
      </c>
      <c r="L28" s="77">
        <f t="shared" ca="1" si="7"/>
        <v>0.14083712954879118</v>
      </c>
      <c r="M28" s="58">
        <f t="shared" ca="1" si="8"/>
        <v>4004.874896364413</v>
      </c>
      <c r="N28" s="58">
        <f t="shared" ca="1" si="9"/>
        <v>4004.8748963644134</v>
      </c>
      <c r="O28" s="75">
        <f ca="1">'Steuerliche Gewinnermittlung'!U28</f>
        <v>106.16098615150989</v>
      </c>
      <c r="P28" s="76">
        <f t="shared" ca="1" si="10"/>
        <v>2.6507940671974997E-2</v>
      </c>
      <c r="Q28" s="81">
        <f ca="1">(O28+'Steuerliche Gewinnermittlung'!S28)/M28</f>
        <v>2.6507940671975001E-2</v>
      </c>
    </row>
    <row r="29" spans="1:17">
      <c r="A29" s="57">
        <f t="shared" si="11"/>
        <v>51867</v>
      </c>
      <c r="B29" s="58">
        <f t="shared" ca="1" si="2"/>
        <v>5018.7045194552147</v>
      </c>
      <c r="C29" s="59">
        <f ca="1">C28+'Steuerliche Gewinnermittlung'!U29-'Steuerliche Gewinnermittlung'!F29-'Steuerliche Gewinnermittlung'!G29+'Steuerliche Gewinnermittlung'!Q29+Liquiditätsvorschau!F29+Liquiditätsvorschau!W29+Liquiditätsvorschau!X29</f>
        <v>5018.7045194552156</v>
      </c>
      <c r="D29" s="74">
        <f ca="1">'Darlehen 1'!G41+'Darlehen 2'!G41+'Darlehen 3'!G41</f>
        <v>-5.9685589803848416E-13</v>
      </c>
      <c r="E29" s="76">
        <f t="shared" ca="1" si="3"/>
        <v>1.0000000000000002</v>
      </c>
      <c r="F29" s="63">
        <f t="shared" ca="1" si="4"/>
        <v>-1.1892628779493744E-16</v>
      </c>
      <c r="G29" s="77">
        <f t="shared" ca="1" si="5"/>
        <v>-1.1892628779493746E-16</v>
      </c>
      <c r="H29" s="58">
        <f t="shared" ca="1" si="1"/>
        <v>5018.7045194552147</v>
      </c>
      <c r="I29" s="58">
        <f t="shared" ca="1" si="0"/>
        <v>5018.7045194552156</v>
      </c>
      <c r="J29" s="75">
        <f ca="1">Liquiditätsvorschau!Y29</f>
        <v>1013.8296230908031</v>
      </c>
      <c r="K29" s="76">
        <f t="shared" ca="1" si="6"/>
        <v>0.2020102237859692</v>
      </c>
      <c r="L29" s="77">
        <f t="shared" ca="1" si="7"/>
        <v>0.20201022378596922</v>
      </c>
      <c r="M29" s="58">
        <f t="shared" ca="1" si="8"/>
        <v>5018.7045194552147</v>
      </c>
      <c r="N29" s="58">
        <f t="shared" ca="1" si="9"/>
        <v>5018.7045194552156</v>
      </c>
      <c r="O29" s="75">
        <f ca="1">'Steuerliche Gewinnermittlung'!U29</f>
        <v>922.93203074205837</v>
      </c>
      <c r="P29" s="76">
        <f t="shared" ca="1" si="10"/>
        <v>0.18389845968501914</v>
      </c>
      <c r="Q29" s="81">
        <f ca="1">(O29+'Steuerliche Gewinnermittlung'!S29)/M29</f>
        <v>0.18389845968501919</v>
      </c>
    </row>
    <row r="30" spans="1:17">
      <c r="A30" s="57">
        <f t="shared" si="11"/>
        <v>52232</v>
      </c>
      <c r="B30" s="58">
        <f t="shared" ca="1" si="2"/>
        <v>6041.0869864171236</v>
      </c>
      <c r="C30" s="59">
        <f ca="1">C29+'Steuerliche Gewinnermittlung'!U30-'Steuerliche Gewinnermittlung'!F30-'Steuerliche Gewinnermittlung'!G30+'Steuerliche Gewinnermittlung'!Q30+Liquiditätsvorschau!F30+Liquiditätsvorschau!W30+Liquiditätsvorschau!X30</f>
        <v>6041.0869864171245</v>
      </c>
      <c r="D30" s="74">
        <f ca="1">'Darlehen 1'!G42+'Darlehen 2'!G42+'Darlehen 3'!G42</f>
        <v>-5.9685589803848416E-13</v>
      </c>
      <c r="E30" s="76">
        <f t="shared" ca="1" si="3"/>
        <v>1.0000000000000002</v>
      </c>
      <c r="F30" s="63">
        <f t="shared" ca="1" si="4"/>
        <v>-9.8799421259860087E-17</v>
      </c>
      <c r="G30" s="77">
        <f t="shared" ca="1" si="5"/>
        <v>-9.8799421259860099E-17</v>
      </c>
      <c r="H30" s="58">
        <f t="shared" ca="1" si="1"/>
        <v>6041.0869864171236</v>
      </c>
      <c r="I30" s="58">
        <f t="shared" ca="1" si="0"/>
        <v>6041.0869864171245</v>
      </c>
      <c r="J30" s="75">
        <f ca="1">Liquiditätsvorschau!Y30</f>
        <v>1022.3824669619084</v>
      </c>
      <c r="K30" s="76">
        <f t="shared" ca="1" si="6"/>
        <v>0.16923816347300566</v>
      </c>
      <c r="L30" s="77">
        <f t="shared" ca="1" si="7"/>
        <v>0.16923816347300569</v>
      </c>
      <c r="M30" s="58">
        <f t="shared" ca="1" si="8"/>
        <v>6041.0869864171236</v>
      </c>
      <c r="N30" s="58">
        <f t="shared" ca="1" si="9"/>
        <v>6041.0869864171245</v>
      </c>
      <c r="O30" s="75">
        <f ca="1">'Steuerliche Gewinnermittlung'!U30</f>
        <v>929.65001903671646</v>
      </c>
      <c r="P30" s="76">
        <f t="shared" ca="1" si="10"/>
        <v>0.15388787169046833</v>
      </c>
      <c r="Q30" s="81">
        <f ca="1">(O30+'Steuerliche Gewinnermittlung'!S30)/M30</f>
        <v>0.15388787169046836</v>
      </c>
    </row>
    <row r="31" spans="1:17">
      <c r="A31" s="57">
        <f t="shared" si="11"/>
        <v>52597</v>
      </c>
      <c r="B31" s="58">
        <f t="shared" ca="1" si="2"/>
        <v>7071.0812446234868</v>
      </c>
      <c r="C31" s="59">
        <f ca="1">C30+'Steuerliche Gewinnermittlung'!U31-'Steuerliche Gewinnermittlung'!F31-'Steuerliche Gewinnermittlung'!G31+'Steuerliche Gewinnermittlung'!Q31+Liquiditätsvorschau!F31+Liquiditätsvorschau!W31+Liquiditätsvorschau!X31</f>
        <v>7071.0812446234877</v>
      </c>
      <c r="D31" s="74">
        <f ca="1">'Darlehen 1'!G43+'Darlehen 2'!G43+'Darlehen 3'!G43</f>
        <v>-5.9685589803848416E-13</v>
      </c>
      <c r="E31" s="76">
        <f t="shared" ca="1" si="3"/>
        <v>1.0000000000000002</v>
      </c>
      <c r="F31" s="63">
        <f t="shared" ca="1" si="4"/>
        <v>-8.4408010230727419E-17</v>
      </c>
      <c r="G31" s="77">
        <f t="shared" ca="1" si="5"/>
        <v>-8.4408010230727431E-17</v>
      </c>
      <c r="H31" s="58">
        <f t="shared" ca="1" si="1"/>
        <v>7071.0812446234868</v>
      </c>
      <c r="I31" s="58">
        <f t="shared" ca="1" si="0"/>
        <v>7071.0812446234877</v>
      </c>
      <c r="J31" s="75">
        <f ca="1">Liquiditätsvorschau!Y31</f>
        <v>1029.9942582063634</v>
      </c>
      <c r="K31" s="76">
        <f t="shared" ca="1" si="6"/>
        <v>0.14566290819943864</v>
      </c>
      <c r="L31" s="77">
        <f t="shared" ca="1" si="7"/>
        <v>0.14566290819943867</v>
      </c>
      <c r="M31" s="58">
        <f t="shared" ca="1" si="8"/>
        <v>7071.0812446234868</v>
      </c>
      <c r="N31" s="58">
        <f t="shared" ca="1" si="9"/>
        <v>7071.0812446234877</v>
      </c>
      <c r="O31" s="75">
        <f ca="1">'Steuerliche Gewinnermittlung'!U31</f>
        <v>936.39805168354269</v>
      </c>
      <c r="P31" s="76">
        <f t="shared" ca="1" si="10"/>
        <v>0.13242643087937012</v>
      </c>
      <c r="Q31" s="81">
        <f ca="1">(O31+'Steuerliche Gewinnermittlung'!S31)/M31</f>
        <v>0.13242643087937014</v>
      </c>
    </row>
    <row r="32" spans="1:17">
      <c r="A32" s="57">
        <f t="shared" si="11"/>
        <v>52963</v>
      </c>
      <c r="B32" s="58">
        <f t="shared" ca="1" si="2"/>
        <v>8108.7461396563058</v>
      </c>
      <c r="C32" s="59">
        <f ca="1">C31+'Steuerliche Gewinnermittlung'!U32-'Steuerliche Gewinnermittlung'!F32-'Steuerliche Gewinnermittlung'!G32+'Steuerliche Gewinnermittlung'!Q32+Liquiditätsvorschau!F32+Liquiditätsvorschau!W32+Liquiditätsvorschau!X32</f>
        <v>8108.7461396563067</v>
      </c>
      <c r="D32" s="74">
        <f ca="1">'Darlehen 1'!G44+'Darlehen 2'!G44+'Darlehen 3'!G44</f>
        <v>-5.9685589803848416E-13</v>
      </c>
      <c r="E32" s="76">
        <f t="shared" ca="1" si="3"/>
        <v>1.0000000000000002</v>
      </c>
      <c r="F32" s="63">
        <f t="shared" ca="1" si="4"/>
        <v>-7.3606435293309384E-17</v>
      </c>
      <c r="G32" s="77">
        <f t="shared" ca="1" si="5"/>
        <v>-7.3606435293309384E-17</v>
      </c>
      <c r="H32" s="58">
        <f t="shared" ca="1" si="1"/>
        <v>8108.7461396563058</v>
      </c>
      <c r="I32" s="58">
        <f t="shared" ca="1" si="0"/>
        <v>8108.7461396563067</v>
      </c>
      <c r="J32" s="75">
        <f ca="1">Liquiditätsvorschau!Y32</f>
        <v>1037.6648950328176</v>
      </c>
      <c r="K32" s="76">
        <f t="shared" ca="1" si="6"/>
        <v>0.12796860046685338</v>
      </c>
      <c r="L32" s="77">
        <f t="shared" ca="1" si="7"/>
        <v>0.1279686004668534</v>
      </c>
      <c r="M32" s="58">
        <f t="shared" ca="1" si="8"/>
        <v>8108.7461396563058</v>
      </c>
      <c r="N32" s="58">
        <f t="shared" ca="1" si="9"/>
        <v>8108.7461396563067</v>
      </c>
      <c r="O32" s="75">
        <f ca="1">'Steuerliche Gewinnermittlung'!U32</f>
        <v>943.17587739750672</v>
      </c>
      <c r="P32" s="76">
        <f t="shared" ca="1" si="10"/>
        <v>0.11631587191820555</v>
      </c>
      <c r="Q32" s="81">
        <f ca="1">(O32+'Steuerliche Gewinnermittlung'!S32)/M32</f>
        <v>0.11631587191820557</v>
      </c>
    </row>
    <row r="33" spans="1:18">
      <c r="A33" s="57">
        <f t="shared" si="11"/>
        <v>53328</v>
      </c>
      <c r="B33" s="58">
        <f t="shared" ca="1" si="2"/>
        <v>9155.1404039932877</v>
      </c>
      <c r="C33" s="59">
        <f ca="1">C32+'Steuerliche Gewinnermittlung'!U33-'Steuerliche Gewinnermittlung'!F33-'Steuerliche Gewinnermittlung'!G33+'Steuerliche Gewinnermittlung'!Q33+Liquiditätsvorschau!F33+Liquiditätsvorschau!W33+Liquiditätsvorschau!X33</f>
        <v>9155.1404039932877</v>
      </c>
      <c r="D33" s="74">
        <f ca="1">'Darlehen 1'!G45+'Darlehen 2'!G45+'Darlehen 3'!G45</f>
        <v>-5.9685589803848416E-13</v>
      </c>
      <c r="E33" s="76">
        <f t="shared" ca="1" si="3"/>
        <v>1</v>
      </c>
      <c r="F33" s="63">
        <f t="shared" ca="1" si="4"/>
        <v>-6.5193527537616757E-17</v>
      </c>
      <c r="G33" s="77">
        <f t="shared" ca="1" si="5"/>
        <v>-6.5193527537616757E-17</v>
      </c>
      <c r="H33" s="58">
        <f t="shared" ca="1" si="1"/>
        <v>9155.1404039932877</v>
      </c>
      <c r="I33" s="58">
        <f t="shared" ca="1" si="0"/>
        <v>9155.1404039932877</v>
      </c>
      <c r="J33" s="75">
        <f ca="1">Liquiditätsvorschau!Y33</f>
        <v>1046.3942643369805</v>
      </c>
      <c r="K33" s="76">
        <f t="shared" ca="1" si="6"/>
        <v>0.11429581832306629</v>
      </c>
      <c r="L33" s="77">
        <f t="shared" ca="1" si="7"/>
        <v>0.11429581832306629</v>
      </c>
      <c r="M33" s="58">
        <f t="shared" ca="1" si="8"/>
        <v>9155.1404039932877</v>
      </c>
      <c r="N33" s="58">
        <f t="shared" ca="1" si="9"/>
        <v>9155.1404039932877</v>
      </c>
      <c r="O33" s="75">
        <f ca="1">'Steuerliche Gewinnermittlung'!U33</f>
        <v>949.98323415744665</v>
      </c>
      <c r="P33" s="76">
        <f t="shared" ca="1" si="10"/>
        <v>0.1037650098455162</v>
      </c>
      <c r="Q33" s="81">
        <f ca="1">(O33+'Steuerliche Gewinnermittlung'!S33)/M33</f>
        <v>0.1037650098455162</v>
      </c>
    </row>
    <row r="34" spans="1:18">
      <c r="A34" s="57">
        <f t="shared" si="11"/>
        <v>53693</v>
      </c>
      <c r="B34" s="58">
        <f t="shared" ca="1" si="2"/>
        <v>10209.32264542809</v>
      </c>
      <c r="C34" s="59">
        <f ca="1">C33+'Steuerliche Gewinnermittlung'!U34-'Steuerliche Gewinnermittlung'!F34-'Steuerliche Gewinnermittlung'!G34+'Steuerliche Gewinnermittlung'!Q34+Liquiditätsvorschau!F34+Liquiditätsvorschau!W34+Liquiditätsvorschau!X34</f>
        <v>10209.32264542809</v>
      </c>
      <c r="D34" s="74">
        <f ca="1">'Darlehen 1'!G46+'Darlehen 2'!G46+'Darlehen 3'!G46</f>
        <v>-5.9685589803848416E-13</v>
      </c>
      <c r="E34" s="76">
        <f t="shared" ca="1" si="3"/>
        <v>1</v>
      </c>
      <c r="F34" s="63">
        <f t="shared" ca="1" si="4"/>
        <v>-5.8461850875656909E-17</v>
      </c>
      <c r="G34" s="77">
        <f t="shared" ca="1" si="5"/>
        <v>-5.8461850875656909E-17</v>
      </c>
      <c r="H34" s="58">
        <f t="shared" ca="1" si="1"/>
        <v>10209.32264542809</v>
      </c>
      <c r="I34" s="58">
        <f t="shared" ca="1" si="0"/>
        <v>10209.32264542809</v>
      </c>
      <c r="J34" s="75">
        <f ca="1">Liquiditätsvorschau!Y34</f>
        <v>1054.1822414348023</v>
      </c>
      <c r="K34" s="76">
        <f t="shared" ca="1" si="6"/>
        <v>0.10325682496741184</v>
      </c>
      <c r="L34" s="77">
        <f t="shared" ca="1" si="7"/>
        <v>0.10325682496741184</v>
      </c>
      <c r="M34" s="58">
        <f t="shared" ca="1" si="8"/>
        <v>10209.32264542809</v>
      </c>
      <c r="N34" s="58">
        <f t="shared" ca="1" si="9"/>
        <v>10209.32264542809</v>
      </c>
      <c r="O34" s="75">
        <f ca="1">'Steuerliche Gewinnermittlung'!U34</f>
        <v>956.81984897588097</v>
      </c>
      <c r="P34" s="76">
        <f t="shared" ca="1" si="10"/>
        <v>9.3720208696152954E-2</v>
      </c>
      <c r="Q34" s="81">
        <f ca="1">(O34+'Steuerliche Gewinnermittlung'!S34)/M34</f>
        <v>9.3720208696152954E-2</v>
      </c>
    </row>
    <row r="35" spans="1:18">
      <c r="A35" s="57">
        <f t="shared" si="11"/>
        <v>54058</v>
      </c>
      <c r="B35" s="58">
        <f t="shared" ca="1" si="2"/>
        <v>11271.351335218775</v>
      </c>
      <c r="C35" s="59">
        <f ca="1">C34+'Steuerliche Gewinnermittlung'!U35-'Steuerliche Gewinnermittlung'!F35-'Steuerliche Gewinnermittlung'!G35+'Steuerliche Gewinnermittlung'!Q35+Liquiditätsvorschau!F35+Liquiditätsvorschau!W35+Liquiditätsvorschau!X35</f>
        <v>11271.351335218775</v>
      </c>
      <c r="D35" s="74">
        <f ca="1">'Darlehen 1'!G47+'Darlehen 2'!G47+'Darlehen 3'!G47</f>
        <v>-5.9685589803848416E-13</v>
      </c>
      <c r="E35" s="76">
        <f t="shared" ca="1" si="3"/>
        <v>1</v>
      </c>
      <c r="F35" s="63">
        <f t="shared" ca="1" si="4"/>
        <v>-5.2953357613255456E-17</v>
      </c>
      <c r="G35" s="77">
        <f t="shared" ca="1" si="5"/>
        <v>-5.2953357613255456E-17</v>
      </c>
      <c r="H35" s="58">
        <f t="shared" ca="1" si="1"/>
        <v>11271.351335218775</v>
      </c>
      <c r="I35" s="58">
        <f t="shared" ca="1" si="0"/>
        <v>11271.351335218775</v>
      </c>
      <c r="J35" s="75">
        <f ca="1">Liquiditätsvorschau!Y35</f>
        <v>1062.0286897906838</v>
      </c>
      <c r="K35" s="76">
        <f t="shared" ca="1" si="6"/>
        <v>9.422372333228933E-2</v>
      </c>
      <c r="L35" s="77">
        <f t="shared" ca="1" si="7"/>
        <v>9.422372333228933E-2</v>
      </c>
      <c r="M35" s="58">
        <f t="shared" ca="1" si="8"/>
        <v>11271.351335218775</v>
      </c>
      <c r="N35" s="58">
        <f t="shared" ca="1" si="9"/>
        <v>11271.351335218775</v>
      </c>
      <c r="O35" s="75">
        <f ca="1">'Steuerliche Gewinnermittlung'!U35</f>
        <v>963.68543766467928</v>
      </c>
      <c r="P35" s="76">
        <f t="shared" ca="1" si="10"/>
        <v>8.5498660187578512E-2</v>
      </c>
      <c r="Q35" s="81">
        <f ca="1">(O35+'Steuerliche Gewinnermittlung'!S35)/M35</f>
        <v>8.5498660187578512E-2</v>
      </c>
    </row>
    <row r="36" spans="1:18">
      <c r="A36" s="57">
        <f t="shared" si="11"/>
        <v>54424</v>
      </c>
      <c r="B36" s="58">
        <f t="shared" ca="1" si="2"/>
        <v>12342.284795959416</v>
      </c>
      <c r="C36" s="59">
        <f ca="1">C35+'Steuerliche Gewinnermittlung'!U36-'Steuerliche Gewinnermittlung'!F36-'Steuerliche Gewinnermittlung'!G36+'Steuerliche Gewinnermittlung'!Q36+Liquiditätsvorschau!F36+Liquiditätsvorschau!W36+Liquiditätsvorschau!X36</f>
        <v>12342.284795959416</v>
      </c>
      <c r="D36" s="74">
        <f ca="1">'Darlehen 1'!G48+'Darlehen 2'!G48+'Darlehen 3'!G48</f>
        <v>-5.9685589803848416E-13</v>
      </c>
      <c r="E36" s="76">
        <f t="shared" ca="1" si="3"/>
        <v>1</v>
      </c>
      <c r="F36" s="63">
        <f t="shared" ca="1" si="4"/>
        <v>-4.8358623051210197E-17</v>
      </c>
      <c r="G36" s="77">
        <f t="shared" ca="1" si="5"/>
        <v>-4.8358623051210197E-17</v>
      </c>
      <c r="H36" s="58">
        <f t="shared" ca="1" si="1"/>
        <v>12342.284795959416</v>
      </c>
      <c r="I36" s="58">
        <f t="shared" ca="1" si="0"/>
        <v>12342.284795959416</v>
      </c>
      <c r="J36" s="75">
        <f ca="1">Liquiditätsvorschau!Y36</f>
        <v>1070.9334607406422</v>
      </c>
      <c r="K36" s="76">
        <f t="shared" ca="1" si="6"/>
        <v>8.6769465981796301E-2</v>
      </c>
      <c r="L36" s="77">
        <f t="shared" ca="1" si="7"/>
        <v>8.6769465981796301E-2</v>
      </c>
      <c r="M36" s="58">
        <f t="shared" ca="1" si="8"/>
        <v>12342.284795959416</v>
      </c>
      <c r="N36" s="58">
        <f t="shared" ca="1" si="9"/>
        <v>12342.284795959416</v>
      </c>
      <c r="O36" s="75">
        <f ca="1">'Steuerliche Gewinnermittlung'!U36</f>
        <v>970.57970459653006</v>
      </c>
      <c r="P36" s="76">
        <f t="shared" ca="1" si="10"/>
        <v>7.8638576296203744E-2</v>
      </c>
      <c r="Q36" s="81">
        <f ca="1">(O36+'Steuerliche Gewinnermittlung'!S36)/M36</f>
        <v>7.8638576296203744E-2</v>
      </c>
    </row>
    <row r="37" spans="1:18">
      <c r="A37" s="57">
        <f t="shared" si="11"/>
        <v>54789</v>
      </c>
      <c r="B37" s="58">
        <f t="shared" ca="1" si="2"/>
        <v>13421.181189169753</v>
      </c>
      <c r="C37" s="59">
        <f ca="1">C36+'Steuerliche Gewinnermittlung'!U37-'Steuerliche Gewinnermittlung'!F37-'Steuerliche Gewinnermittlung'!G37+'Steuerliche Gewinnermittlung'!Q37+Liquiditätsvorschau!F37+Liquiditätsvorschau!W37+Liquiditätsvorschau!X37</f>
        <v>13421.181189169753</v>
      </c>
      <c r="D37" s="74">
        <f ca="1">'Darlehen 1'!G49+'Darlehen 2'!G49+'Darlehen 3'!G49</f>
        <v>-5.9685589803848416E-13</v>
      </c>
      <c r="E37" s="76">
        <f t="shared" ca="1" si="3"/>
        <v>1</v>
      </c>
      <c r="F37" s="63">
        <f t="shared" ca="1" si="4"/>
        <v>-4.4471189951605614E-17</v>
      </c>
      <c r="G37" s="77">
        <f t="shared" ca="1" si="5"/>
        <v>-4.4471189951605614E-17</v>
      </c>
      <c r="H37" s="58">
        <f t="shared" ca="1" si="1"/>
        <v>13421.181189169753</v>
      </c>
      <c r="I37" s="58">
        <f t="shared" ca="1" si="0"/>
        <v>13421.181189169753</v>
      </c>
      <c r="J37" s="75">
        <f ca="1">Liquiditätsvorschau!Y37</f>
        <v>1078.896393210335</v>
      </c>
      <c r="K37" s="76">
        <f t="shared" ca="1" si="6"/>
        <v>8.0387588693084072E-2</v>
      </c>
      <c r="L37" s="77">
        <f t="shared" ca="1" si="7"/>
        <v>8.0387588693084072E-2</v>
      </c>
      <c r="M37" s="58">
        <f t="shared" ca="1" si="8"/>
        <v>13421.181189169753</v>
      </c>
      <c r="N37" s="58">
        <f t="shared" ca="1" si="9"/>
        <v>13421.181189169753</v>
      </c>
      <c r="O37" s="75">
        <f ca="1">'Steuerliche Gewinnermittlung'!U37</f>
        <v>977.50234246212426</v>
      </c>
      <c r="P37" s="76">
        <f t="shared" ca="1" si="10"/>
        <v>7.2832810218740038E-2</v>
      </c>
      <c r="Q37" s="81">
        <f ca="1">(O37+'Steuerliche Gewinnermittlung'!S37)/M37</f>
        <v>7.2832810218740038E-2</v>
      </c>
    </row>
    <row r="38" spans="1:18">
      <c r="A38" s="57">
        <f t="shared" si="11"/>
        <v>55154</v>
      </c>
      <c r="B38" s="58">
        <f t="shared" ca="1" si="2"/>
        <v>14508.098502597619</v>
      </c>
      <c r="C38" s="59">
        <f ca="1">C37+'Steuerliche Gewinnermittlung'!U38-'Steuerliche Gewinnermittlung'!F38-'Steuerliche Gewinnermittlung'!G38+'Steuerliche Gewinnermittlung'!Q38+Liquiditätsvorschau!F38+Liquiditätsvorschau!W38+Liquiditätsvorschau!X38</f>
        <v>14508.098502597619</v>
      </c>
      <c r="D38" s="74">
        <f>'Darlehen 1'!G50+'Darlehen 2'!G50+'Darlehen 3'!G50</f>
        <v>0</v>
      </c>
      <c r="E38" s="76">
        <f t="shared" ca="1" si="3"/>
        <v>1</v>
      </c>
      <c r="F38" s="63">
        <f t="shared" ca="1" si="4"/>
        <v>0</v>
      </c>
      <c r="G38" s="77">
        <f t="shared" ca="1" si="5"/>
        <v>0</v>
      </c>
      <c r="H38" s="58">
        <f t="shared" ca="1" si="1"/>
        <v>14508.098502597619</v>
      </c>
      <c r="I38" s="58">
        <f t="shared" ca="1" si="0"/>
        <v>14508.098502597619</v>
      </c>
      <c r="J38" s="75">
        <f ca="1">Liquiditätsvorschau!Y38</f>
        <v>1086.9173134278676</v>
      </c>
      <c r="K38" s="76">
        <f t="shared" ca="1" si="6"/>
        <v>7.4917971726843405E-2</v>
      </c>
      <c r="L38" s="77">
        <f t="shared" ca="1" si="7"/>
        <v>7.4917971726843405E-2</v>
      </c>
      <c r="M38" s="58">
        <f t="shared" ca="1" si="8"/>
        <v>14508.098502597619</v>
      </c>
      <c r="N38" s="58">
        <f t="shared" ca="1" si="9"/>
        <v>14508.098502597619</v>
      </c>
      <c r="O38" s="75">
        <f ca="1">'Steuerliche Gewinnermittlung'!U38</f>
        <v>984.45303202299669</v>
      </c>
      <c r="P38" s="76">
        <f t="shared" ca="1" si="10"/>
        <v>6.7855414122445765E-2</v>
      </c>
      <c r="Q38" s="81">
        <f ca="1">(O38+'Steuerliche Gewinnermittlung'!S38)/M38</f>
        <v>6.7855414122445765E-2</v>
      </c>
    </row>
    <row r="39" spans="1:18" s="22" customFormat="1">
      <c r="R39" s="23"/>
    </row>
    <row r="41" spans="1:18" hidden="1">
      <c r="G41" s="78"/>
    </row>
  </sheetData>
  <sheetProtection algorithmName="SHA-512" hashValue="J72ba+ijlpK9BV0y2ArAfRf/bELJTmTGPnn2YlkHl7Ba3NXP1R5/R2NOugmi7zcxb/L6e4SI0Jh52XRK8UZebA==" saltValue="4KlFHoRN3GtaPzKdCK2jgw==" spinCount="100000" sheet="1" objects="1" scenarios="1"/>
  <mergeCells count="4">
    <mergeCell ref="H3:L3"/>
    <mergeCell ref="M3:Q3"/>
    <mergeCell ref="B3:G3"/>
    <mergeCell ref="A1:D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1" orientation="landscape" r:id="rId1"/>
  <headerFooter>
    <oddHeader>&amp;L&amp;F&amp;R&amp;D</oddHeader>
    <oddFooter>&amp;CSeite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pageSetUpPr fitToPage="1"/>
  </sheetPr>
  <dimension ref="A1:V38"/>
  <sheetViews>
    <sheetView showGridLines="0" topLeftCell="A4" zoomScaleNormal="100" zoomScaleSheetLayoutView="80" workbookViewId="0">
      <selection activeCell="B5" sqref="B5"/>
    </sheetView>
  </sheetViews>
  <sheetFormatPr baseColWidth="10" defaultColWidth="0" defaultRowHeight="15" zeroHeight="1"/>
  <cols>
    <col min="1" max="1" width="1.625" style="23" customWidth="1"/>
    <col min="2" max="10" width="11" style="40" customWidth="1"/>
    <col min="11" max="11" width="1.625" style="23" customWidth="1"/>
    <col min="12" max="12" width="11" style="40" hidden="1" customWidth="1"/>
    <col min="13" max="20" width="10.625" style="40" hidden="1" customWidth="1"/>
    <col min="21" max="21" width="3.75" style="40" hidden="1" customWidth="1"/>
    <col min="22" max="22" width="10.625" style="40" hidden="1" customWidth="1"/>
    <col min="23" max="16384" width="11" style="40" hidden="1"/>
  </cols>
  <sheetData>
    <row r="1" spans="1:22" s="21" customFormat="1" ht="35.1" customHeight="1">
      <c r="A1" s="140"/>
      <c r="B1" s="238" t="s">
        <v>246</v>
      </c>
      <c r="C1" s="239"/>
      <c r="D1" s="239"/>
      <c r="E1" s="239"/>
      <c r="K1" s="140"/>
    </row>
    <row r="2" spans="1:22" ht="7.5" customHeight="1">
      <c r="B2" s="22"/>
      <c r="C2" s="22"/>
      <c r="D2" s="22"/>
      <c r="E2" s="22"/>
      <c r="F2" s="22"/>
      <c r="G2" s="22"/>
      <c r="H2" s="22"/>
      <c r="I2" s="22"/>
      <c r="J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s="49" customFormat="1" ht="15.75">
      <c r="A3" s="202"/>
      <c r="B3" s="48" t="s">
        <v>123</v>
      </c>
      <c r="K3" s="202"/>
    </row>
    <row r="4" spans="1:22" ht="6" customHeight="1">
      <c r="B4" s="22"/>
      <c r="C4" s="22"/>
      <c r="D4" s="22"/>
      <c r="E4" s="22"/>
      <c r="F4" s="22"/>
      <c r="G4" s="22"/>
      <c r="H4" s="22"/>
      <c r="I4" s="22"/>
      <c r="J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>
      <c r="B5" s="22" t="s">
        <v>124</v>
      </c>
      <c r="C5" s="22"/>
      <c r="D5" s="22"/>
      <c r="E5" s="22"/>
      <c r="F5" s="22"/>
      <c r="G5" s="22"/>
      <c r="H5" s="22"/>
      <c r="I5" s="22"/>
      <c r="J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>
      <c r="B6" s="22" t="s">
        <v>127</v>
      </c>
      <c r="C6" s="22"/>
      <c r="D6" s="22"/>
      <c r="E6" s="22"/>
      <c r="F6" s="22"/>
      <c r="G6" s="22"/>
      <c r="H6" s="22"/>
      <c r="I6" s="22"/>
      <c r="J6" s="22"/>
      <c r="L6" s="22"/>
      <c r="M6" s="24" t="s">
        <v>169</v>
      </c>
      <c r="N6" s="22"/>
      <c r="O6" s="22"/>
      <c r="P6" s="22"/>
      <c r="Q6" s="22"/>
      <c r="R6" s="22"/>
      <c r="S6" s="22"/>
      <c r="T6" s="22"/>
      <c r="U6" s="22"/>
      <c r="V6" s="22"/>
    </row>
    <row r="7" spans="1:22" ht="5.25" customHeight="1">
      <c r="B7" s="22"/>
      <c r="C7" s="22"/>
      <c r="D7" s="22"/>
      <c r="E7" s="22"/>
      <c r="F7" s="22"/>
      <c r="G7" s="22"/>
      <c r="H7" s="22"/>
      <c r="I7" s="22"/>
      <c r="J7" s="22"/>
      <c r="L7" s="22"/>
      <c r="M7" s="84"/>
      <c r="N7" s="84"/>
      <c r="O7" s="84"/>
      <c r="P7" s="84"/>
      <c r="Q7" s="84"/>
      <c r="R7" s="84"/>
      <c r="S7" s="84"/>
      <c r="T7" s="84"/>
      <c r="V7" s="85">
        <f>-'Absetzung für Abnutzung'!E6</f>
        <v>-13500</v>
      </c>
    </row>
    <row r="8" spans="1:22">
      <c r="B8" s="22" t="s">
        <v>170</v>
      </c>
      <c r="C8" s="22"/>
      <c r="D8" s="22"/>
      <c r="E8" s="22"/>
      <c r="F8" s="22"/>
      <c r="G8" s="90">
        <f ca="1">VLOOKUP("Ja",M8:P38,4,FALSE)</f>
        <v>23</v>
      </c>
      <c r="H8" s="22"/>
      <c r="I8" s="22"/>
      <c r="J8" s="22"/>
      <c r="L8" s="22"/>
      <c r="M8" s="84" t="str">
        <f ca="1">IF(AND(N5&lt;=0,O8&gt;0),"Ja","Nein")</f>
        <v>Nein</v>
      </c>
      <c r="N8" s="86">
        <f>Liquiditätsvorschau!A8</f>
        <v>44197</v>
      </c>
      <c r="O8" s="87">
        <f ca="1">SUM(Liquiditätsvorschau!$Y$8:'Liquiditätsvorschau'!Y8)</f>
        <v>-2725.8216807866743</v>
      </c>
      <c r="P8" s="84">
        <v>1</v>
      </c>
      <c r="Q8" s="84" t="str">
        <f ca="1">IF(AND(R5&lt;=0,S8&gt;0),"Ja","Nein")</f>
        <v>Nein</v>
      </c>
      <c r="R8" s="86">
        <f>Liquiditätsvorschau!A8</f>
        <v>44197</v>
      </c>
      <c r="S8" s="87">
        <f ca="1">SUM(Liquiditätsvorschau!$Z$8:'Liquiditätsvorschau'!Z8)</f>
        <v>-2725.8216807866743</v>
      </c>
      <c r="T8" s="84">
        <v>1</v>
      </c>
      <c r="V8" s="88">
        <f ca="1">Liquiditätsvorschau!V8+'Darlehen 1'!J20+'Darlehen 2'!J20+'Darlehen 3'!J20+Liquiditätsvorschau!I8-Liquiditätsvorschau!G8</f>
        <v>529.06633053221412</v>
      </c>
    </row>
    <row r="9" spans="1:22">
      <c r="B9" s="22" t="s">
        <v>125</v>
      </c>
      <c r="C9" s="22"/>
      <c r="D9" s="22"/>
      <c r="E9" s="22"/>
      <c r="F9" s="22"/>
      <c r="G9" s="91">
        <f ca="1">VLOOKUP("Ja",M8:P38,2,FALSE)</f>
        <v>52232</v>
      </c>
      <c r="H9" s="22"/>
      <c r="I9" s="22"/>
      <c r="J9" s="22"/>
      <c r="L9" s="22"/>
      <c r="M9" s="84" t="str">
        <f t="shared" ref="M9" ca="1" si="0">IF(AND(O8&lt;=0,O9&gt;0),"Ja","Nein")</f>
        <v>Nein</v>
      </c>
      <c r="N9" s="86">
        <f>Liquiditätsvorschau!A9</f>
        <v>44562</v>
      </c>
      <c r="O9" s="87">
        <f ca="1">SUM(Liquiditätsvorschau!$Y$8:'Liquiditätsvorschau'!Y9)</f>
        <v>-2847.8703834523239</v>
      </c>
      <c r="P9" s="84">
        <f t="shared" ref="P9:P38" si="1">P8+1</f>
        <v>2</v>
      </c>
      <c r="Q9" s="84" t="str">
        <f t="shared" ref="Q9" ca="1" si="2">IF(AND(S8&lt;=0,S9&gt;0),"Ja","Nein")</f>
        <v>Nein</v>
      </c>
      <c r="R9" s="86">
        <f>Liquiditätsvorschau!A9</f>
        <v>44562</v>
      </c>
      <c r="S9" s="87">
        <f ca="1">SUM(Liquiditätsvorschau!$Z$8:'Liquiditätsvorschau'!Z9)</f>
        <v>-2845.47727163535</v>
      </c>
      <c r="T9" s="84">
        <f t="shared" ref="T9:T38" si="3">T8+1</f>
        <v>2</v>
      </c>
      <c r="V9" s="88">
        <f ca="1">Liquiditätsvorschau!V9+'Darlehen 1'!J21+'Darlehen 2'!J21+'Darlehen 3'!J21</f>
        <v>718.24620735294093</v>
      </c>
    </row>
    <row r="10" spans="1:22">
      <c r="B10" s="22"/>
      <c r="C10" s="22"/>
      <c r="D10" s="22"/>
      <c r="E10" s="22"/>
      <c r="F10" s="22"/>
      <c r="G10" s="91"/>
      <c r="H10" s="22"/>
      <c r="I10" s="22"/>
      <c r="J10" s="22"/>
      <c r="L10" s="22"/>
      <c r="M10" s="84" t="str">
        <f t="shared" ref="M10:M38" ca="1" si="4">IF(AND(O9&lt;=0,O10&gt;0),"Ja","Nein")</f>
        <v>Nein</v>
      </c>
      <c r="N10" s="86">
        <f>Liquiditätsvorschau!A10</f>
        <v>44927</v>
      </c>
      <c r="O10" s="87">
        <f ca="1">SUM(Liquiditätsvorschau!$Y$8:'Liquiditätsvorschau'!Y10)</f>
        <v>-2969.4651086547319</v>
      </c>
      <c r="P10" s="84">
        <f t="shared" si="1"/>
        <v>3</v>
      </c>
      <c r="Q10" s="84" t="str">
        <f t="shared" ref="Q10:Q38" ca="1" si="5">IF(AND(S9&lt;=0,S10&gt;0),"Ja","Nein")</f>
        <v>Nein</v>
      </c>
      <c r="R10" s="86">
        <f>Liquiditätsvorschau!A10</f>
        <v>44927</v>
      </c>
      <c r="S10" s="87">
        <f ca="1">SUM(Liquiditätsvorschau!$Z$8:'Liquiditätsvorschau'!Z10)</f>
        <v>-2962.3503254631164</v>
      </c>
      <c r="T10" s="84">
        <f t="shared" si="3"/>
        <v>3</v>
      </c>
      <c r="V10" s="88">
        <f ca="1">Liquiditätsvorschau!V10+'Darlehen 1'!J22+'Darlehen 2'!J22+'Darlehen 3'!J22</f>
        <v>712.68334271091919</v>
      </c>
    </row>
    <row r="11" spans="1:22" s="49" customFormat="1" ht="15.75">
      <c r="A11" s="202"/>
      <c r="B11" s="48" t="s">
        <v>128</v>
      </c>
      <c r="G11" s="93"/>
      <c r="K11" s="202"/>
      <c r="M11" s="49" t="str">
        <f t="shared" ca="1" si="4"/>
        <v>Nein</v>
      </c>
      <c r="N11" s="93">
        <f>Liquiditätsvorschau!A11</f>
        <v>45292</v>
      </c>
      <c r="O11" s="94">
        <f ca="1">SUM(Liquiditätsvorschau!$Y$8:'Liquiditätsvorschau'!Y11)</f>
        <v>-3089.6429404342207</v>
      </c>
      <c r="P11" s="49">
        <f t="shared" si="1"/>
        <v>4</v>
      </c>
      <c r="Q11" s="49" t="str">
        <f t="shared" ca="1" si="5"/>
        <v>Nein</v>
      </c>
      <c r="R11" s="93">
        <f>Liquiditätsvorschau!A11</f>
        <v>45292</v>
      </c>
      <c r="S11" s="94">
        <f ca="1">SUM(Liquiditätsvorschau!$Z$8:'Liquiditätsvorschau'!Z11)</f>
        <v>-3075.5965804663665</v>
      </c>
      <c r="T11" s="49">
        <f t="shared" si="3"/>
        <v>4</v>
      </c>
      <c r="V11" s="89">
        <f ca="1">Liquiditätsvorschau!V11+'Darlehen 1'!J23+'Darlehen 2'!J23+'Darlehen 3'!J23</f>
        <v>707.08339402857507</v>
      </c>
    </row>
    <row r="12" spans="1:22" ht="6" customHeight="1">
      <c r="B12" s="92"/>
      <c r="C12" s="22"/>
      <c r="D12" s="22"/>
      <c r="E12" s="22"/>
      <c r="F12" s="22"/>
      <c r="G12" s="91"/>
      <c r="H12" s="22"/>
      <c r="I12" s="22"/>
      <c r="J12" s="22"/>
      <c r="L12" s="22"/>
      <c r="M12" s="84" t="str">
        <f t="shared" ca="1" si="4"/>
        <v>Nein</v>
      </c>
      <c r="N12" s="86">
        <f>Liquiditätsvorschau!A12</f>
        <v>45658</v>
      </c>
      <c r="O12" s="87">
        <f ca="1">SUM(Liquiditätsvorschau!$Y$8:'Liquiditätsvorschau'!Y12)</f>
        <v>-3209.442101475669</v>
      </c>
      <c r="P12" s="84">
        <f t="shared" si="1"/>
        <v>5</v>
      </c>
      <c r="Q12" s="84" t="str">
        <f t="shared" ca="1" si="5"/>
        <v>Nein</v>
      </c>
      <c r="R12" s="86">
        <f>Liquiditätsvorschau!A12</f>
        <v>45658</v>
      </c>
      <c r="S12" s="87">
        <f ca="1">SUM(Liquiditätsvorschau!$Z$8:'Liquiditätsvorschau'!Z12)</f>
        <v>-3186.2724874363221</v>
      </c>
      <c r="T12" s="84">
        <f t="shared" si="3"/>
        <v>5</v>
      </c>
      <c r="V12" s="88">
        <f ca="1">Liquiditätsvorschau!V12+'Darlehen 1'!J24+'Darlehen 2'!J24+'Darlehen 3'!J24</f>
        <v>701.44522266135243</v>
      </c>
    </row>
    <row r="13" spans="1:22">
      <c r="B13" s="22" t="s">
        <v>129</v>
      </c>
      <c r="C13" s="22"/>
      <c r="D13" s="22"/>
      <c r="E13" s="22"/>
      <c r="F13" s="22"/>
      <c r="G13" s="26">
        <f ca="1">Liquiditätsvorschau!Z40</f>
        <v>6237.346509312456</v>
      </c>
      <c r="H13" s="22"/>
      <c r="I13" s="22"/>
      <c r="J13" s="22"/>
      <c r="L13" s="22"/>
      <c r="M13" s="84" t="str">
        <f t="shared" ca="1" si="4"/>
        <v>Nein</v>
      </c>
      <c r="N13" s="86">
        <f>Liquiditätsvorschau!A13</f>
        <v>46023</v>
      </c>
      <c r="O13" s="87">
        <f ca="1">SUM(Liquiditätsvorschau!$Y$8:'Liquiditätsvorschau'!Y13)</f>
        <v>-3359.9019707558591</v>
      </c>
      <c r="P13" s="84">
        <f t="shared" si="1"/>
        <v>6</v>
      </c>
      <c r="Q13" s="84" t="str">
        <f t="shared" ca="1" si="5"/>
        <v>Nein</v>
      </c>
      <c r="R13" s="86">
        <f>Liquiditätsvorschau!A13</f>
        <v>46023</v>
      </c>
      <c r="S13" s="87">
        <f ca="1">SUM(Liquiditätsvorschau!$Z$8:'Liquiditätsvorschau'!Z13)</f>
        <v>-3322.5486266863722</v>
      </c>
      <c r="T13" s="84">
        <f t="shared" si="3"/>
        <v>6</v>
      </c>
      <c r="V13" s="88">
        <f ca="1">Liquiditätsvorschau!V13+'Darlehen 1'!J25+'Darlehen 2'!J25+'Darlehen 3'!J25</f>
        <v>695.76767231734732</v>
      </c>
    </row>
    <row r="14" spans="1:22">
      <c r="B14" s="22" t="s">
        <v>130</v>
      </c>
      <c r="C14" s="22"/>
      <c r="D14" s="22"/>
      <c r="E14" s="22"/>
      <c r="F14" s="22"/>
      <c r="G14" s="34">
        <f>Eingabe!E75</f>
        <v>0.02</v>
      </c>
      <c r="H14" s="22"/>
      <c r="I14" s="22"/>
      <c r="J14" s="22"/>
      <c r="L14" s="22"/>
      <c r="M14" s="84" t="str">
        <f t="shared" ca="1" si="4"/>
        <v>Nein</v>
      </c>
      <c r="N14" s="86">
        <f>Liquiditätsvorschau!A14</f>
        <v>46388</v>
      </c>
      <c r="O14" s="87">
        <f ca="1">SUM(Liquiditätsvorschau!$Y$8:'Liquiditätsvorschau'!Y14)</f>
        <v>-3510.063101487232</v>
      </c>
      <c r="P14" s="84">
        <f t="shared" si="1"/>
        <v>7</v>
      </c>
      <c r="Q14" s="84" t="str">
        <f t="shared" ca="1" si="5"/>
        <v>Nein</v>
      </c>
      <c r="R14" s="86">
        <f>Liquiditätsvorschau!A14</f>
        <v>46388</v>
      </c>
      <c r="S14" s="87">
        <f ca="1">SUM(Liquiditätsvorschau!$Z$8:'Liquiditätsvorschau'!Z14)</f>
        <v>-3455.8874134925509</v>
      </c>
      <c r="T14" s="84">
        <f t="shared" si="3"/>
        <v>7</v>
      </c>
      <c r="V14" s="88">
        <f ca="1">Liquiditätsvorschau!V14+'Darlehen 1'!J26+'Darlehen 2'!J26+'Darlehen 3'!J26</f>
        <v>690.04956876090159</v>
      </c>
    </row>
    <row r="15" spans="1:22">
      <c r="B15" s="22"/>
      <c r="C15" s="22"/>
      <c r="D15" s="22"/>
      <c r="E15" s="22"/>
      <c r="F15" s="22"/>
      <c r="G15" s="22"/>
      <c r="H15" s="22"/>
      <c r="I15" s="22"/>
      <c r="J15" s="22"/>
      <c r="L15" s="22"/>
      <c r="M15" s="84" t="str">
        <f t="shared" ca="1" si="4"/>
        <v>Nein</v>
      </c>
      <c r="N15" s="86">
        <f>Liquiditätsvorschau!A15</f>
        <v>46753</v>
      </c>
      <c r="O15" s="87">
        <f ca="1">SUM(Liquiditätsvorschau!$Y$8:'Liquiditätsvorschau'!Y15)</f>
        <v>-3659.967239362677</v>
      </c>
      <c r="P15" s="84">
        <f t="shared" si="1"/>
        <v>8</v>
      </c>
      <c r="Q15" s="84" t="str">
        <f t="shared" ca="1" si="5"/>
        <v>Nein</v>
      </c>
      <c r="R15" s="86">
        <f>Liquiditätsvorschau!A15</f>
        <v>46753</v>
      </c>
      <c r="S15" s="87">
        <f ca="1">SUM(Liquiditätsvorschau!$Z$8:'Liquiditätsvorschau'!Z15)</f>
        <v>-3586.3879865363633</v>
      </c>
      <c r="T15" s="84">
        <f t="shared" si="3"/>
        <v>8</v>
      </c>
      <c r="V15" s="88">
        <f ca="1">Liquiditätsvorschau!V15+'Darlehen 1'!J27+'Darlehen 2'!J27+'Darlehen 3'!J27</f>
        <v>684.28971951156598</v>
      </c>
    </row>
    <row r="16" spans="1:22">
      <c r="B16" s="22" t="s">
        <v>131</v>
      </c>
      <c r="C16" s="22"/>
      <c r="D16" s="22"/>
      <c r="E16" s="22"/>
      <c r="F16" s="22"/>
      <c r="G16" s="22"/>
      <c r="H16" s="22"/>
      <c r="I16" s="22"/>
      <c r="J16" s="22"/>
      <c r="L16" s="22"/>
      <c r="M16" s="84" t="str">
        <f t="shared" ca="1" si="4"/>
        <v>Nein</v>
      </c>
      <c r="N16" s="86">
        <f>Liquiditätsvorschau!A16</f>
        <v>47119</v>
      </c>
      <c r="O16" s="87">
        <f ca="1">SUM(Liquiditätsvorschau!$Y$8:'Liquiditätsvorschau'!Y16)</f>
        <v>-3809.6573411060658</v>
      </c>
      <c r="P16" s="84">
        <f t="shared" si="1"/>
        <v>9</v>
      </c>
      <c r="Q16" s="84" t="str">
        <f t="shared" ca="1" si="5"/>
        <v>Nein</v>
      </c>
      <c r="R16" s="86">
        <f>Liquiditätsvorschau!A16</f>
        <v>47119</v>
      </c>
      <c r="S16" s="87">
        <f ca="1">SUM(Liquiditätsvorschau!$Z$8:'Liquiditätsvorschau'!Z16)</f>
        <v>-3714.147047036814</v>
      </c>
      <c r="T16" s="84">
        <f t="shared" si="3"/>
        <v>9</v>
      </c>
      <c r="V16" s="88">
        <f ca="1">Liquiditätsvorschau!V16+'Darlehen 1'!J28+'Darlehen 2'!J28+'Darlehen 3'!J28</f>
        <v>678.4869135383592</v>
      </c>
    </row>
    <row r="17" spans="1:22">
      <c r="B17" s="22" t="s">
        <v>132</v>
      </c>
      <c r="C17" s="22"/>
      <c r="D17" s="22"/>
      <c r="E17" s="22"/>
      <c r="F17" s="22"/>
      <c r="G17" s="22"/>
      <c r="H17" s="22"/>
      <c r="I17" s="22"/>
      <c r="J17" s="22"/>
      <c r="L17" s="22"/>
      <c r="M17" s="84" t="str">
        <f t="shared" ca="1" si="4"/>
        <v>Nein</v>
      </c>
      <c r="N17" s="86">
        <f>Liquiditätsvorschau!A17</f>
        <v>47484</v>
      </c>
      <c r="O17" s="87">
        <f ca="1">SUM(Liquiditätsvorschau!$Y$8:'Liquiditätsvorschau'!Y17)</f>
        <v>-3958.1775933332956</v>
      </c>
      <c r="P17" s="84">
        <f t="shared" si="1"/>
        <v>10</v>
      </c>
      <c r="Q17" s="84" t="str">
        <f t="shared" ca="1" si="5"/>
        <v>Nein</v>
      </c>
      <c r="R17" s="86">
        <f>Liquiditätsvorschau!A17</f>
        <v>47484</v>
      </c>
      <c r="S17" s="87">
        <f ca="1">SUM(Liquiditätsvorschau!$Z$8:'Liquiditätsvorschau'!Z17)</f>
        <v>-3838.4221501766838</v>
      </c>
      <c r="T17" s="84">
        <f t="shared" si="3"/>
        <v>10</v>
      </c>
      <c r="V17" s="88">
        <f ca="1">Liquiditätsvorschau!V17+'Darlehen 1'!J29+'Darlehen 2'!J29+'Darlehen 3'!J29</f>
        <v>672.63992094925516</v>
      </c>
    </row>
    <row r="18" spans="1:22" ht="5.25" customHeight="1">
      <c r="B18" s="22"/>
      <c r="C18" s="22"/>
      <c r="D18" s="22"/>
      <c r="E18" s="22"/>
      <c r="F18" s="22"/>
      <c r="G18" s="22"/>
      <c r="H18" s="22"/>
      <c r="I18" s="22"/>
      <c r="J18" s="22"/>
      <c r="L18" s="22"/>
      <c r="M18" s="84" t="str">
        <f t="shared" ca="1" si="4"/>
        <v>Nein</v>
      </c>
      <c r="N18" s="86">
        <f>Liquiditätsvorschau!A18</f>
        <v>47849</v>
      </c>
      <c r="O18" s="87">
        <f ca="1">SUM(Liquiditätsvorschau!$Y$8:'Liquiditätsvorschau'!Y18)</f>
        <v>-7048.1034997637598</v>
      </c>
      <c r="P18" s="84">
        <f t="shared" si="1"/>
        <v>11</v>
      </c>
      <c r="Q18" s="84" t="str">
        <f t="shared" ca="1" si="5"/>
        <v>Nein</v>
      </c>
      <c r="R18" s="86">
        <f>Liquiditätsvorschau!A18</f>
        <v>47849</v>
      </c>
      <c r="S18" s="87">
        <f ca="1">SUM(Liquiditätsvorschau!$Z$8:'Liquiditätsvorschau'!Z18)</f>
        <v>-6373.2376142571129</v>
      </c>
      <c r="T18" s="84">
        <f t="shared" si="3"/>
        <v>11</v>
      </c>
      <c r="V18" s="88">
        <f ca="1">Liquiditätsvorschau!V18+'Darlehen 1'!J30+'Darlehen 2'!J30+'Darlehen 3'!J30</f>
        <v>469.23485304941687</v>
      </c>
    </row>
    <row r="19" spans="1:22">
      <c r="B19" s="22" t="s">
        <v>170</v>
      </c>
      <c r="C19" s="22"/>
      <c r="D19" s="22"/>
      <c r="E19" s="22"/>
      <c r="F19" s="22"/>
      <c r="G19" s="90">
        <f ca="1">VLOOKUP("Ja",Q8:T38,4,FALSE)</f>
        <v>24</v>
      </c>
      <c r="H19" s="22"/>
      <c r="I19" s="22"/>
      <c r="J19" s="22"/>
      <c r="L19" s="22"/>
      <c r="M19" s="84" t="str">
        <f t="shared" ca="1" si="4"/>
        <v>Nein</v>
      </c>
      <c r="N19" s="86">
        <f>Liquiditätsvorschau!A19</f>
        <v>48214</v>
      </c>
      <c r="O19" s="87">
        <f ca="1">SUM(Liquiditätsvorschau!$Y$8:'Liquiditätsvorschau'!Y19)</f>
        <v>-6511.1679142438097</v>
      </c>
      <c r="P19" s="84">
        <f t="shared" si="1"/>
        <v>12</v>
      </c>
      <c r="Q19" s="84" t="str">
        <f t="shared" ca="1" si="5"/>
        <v>Nein</v>
      </c>
      <c r="R19" s="86">
        <f>Liquiditätsvorschau!A19</f>
        <v>48214</v>
      </c>
      <c r="S19" s="87">
        <f ca="1">SUM(Liquiditätsvorschau!$Z$8:'Liquiditätsvorschau'!Z19)</f>
        <v>-5941.4001684495024</v>
      </c>
      <c r="T19" s="84">
        <f t="shared" si="3"/>
        <v>12</v>
      </c>
      <c r="V19" s="88">
        <f ca="1">Liquiditätsvorschau!V19+'Darlehen 1'!J31+'Darlehen 2'!J31+'Darlehen 3'!J31</f>
        <v>516.93558551995034</v>
      </c>
    </row>
    <row r="20" spans="1:22">
      <c r="B20" s="22" t="s">
        <v>125</v>
      </c>
      <c r="C20" s="22"/>
      <c r="D20" s="22"/>
      <c r="E20" s="22"/>
      <c r="F20" s="22"/>
      <c r="G20" s="91">
        <f ca="1">VLOOKUP("Ja",Q8:T38,2,FALSE)</f>
        <v>52597</v>
      </c>
      <c r="H20" s="22"/>
      <c r="I20" s="22"/>
      <c r="J20" s="22"/>
      <c r="L20" s="22"/>
      <c r="M20" s="84" t="str">
        <f t="shared" ca="1" si="4"/>
        <v>Nein</v>
      </c>
      <c r="N20" s="86">
        <f>Liquiditätsvorschau!A20</f>
        <v>48580</v>
      </c>
      <c r="O20" s="87">
        <f ca="1">SUM(Liquiditätsvorschau!$Y$8:'Liquiditätsvorschau'!Y20)</f>
        <v>-5939.0665251087757</v>
      </c>
      <c r="P20" s="84">
        <f t="shared" si="1"/>
        <v>13</v>
      </c>
      <c r="Q20" s="84" t="str">
        <f t="shared" ca="1" si="5"/>
        <v>Nein</v>
      </c>
      <c r="R20" s="86">
        <f>Liquiditätsvorschau!A20</f>
        <v>48580</v>
      </c>
      <c r="S20" s="87">
        <f ca="1">SUM(Liquiditätsvorschau!$Z$8:'Liquiditätsvorschau'!Z20)</f>
        <v>-5490.3021273757422</v>
      </c>
      <c r="T20" s="84">
        <f t="shared" si="3"/>
        <v>13</v>
      </c>
      <c r="V20" s="88">
        <f ca="1">Liquiditätsvorschau!V20+'Darlehen 1'!J32+'Darlehen 2'!J32+'Darlehen 3'!J32</f>
        <v>568.1013891350342</v>
      </c>
    </row>
    <row r="21" spans="1:22">
      <c r="B21" s="22"/>
      <c r="C21" s="22"/>
      <c r="D21" s="22"/>
      <c r="E21" s="22"/>
      <c r="F21" s="22"/>
      <c r="G21" s="22"/>
      <c r="H21" s="22"/>
      <c r="I21" s="22"/>
      <c r="J21" s="22"/>
      <c r="L21" s="22"/>
      <c r="M21" s="84" t="str">
        <f t="shared" ca="1" si="4"/>
        <v>Nein</v>
      </c>
      <c r="N21" s="86">
        <f>Liquiditätsvorschau!A21</f>
        <v>48945</v>
      </c>
      <c r="O21" s="87">
        <f ca="1">SUM(Liquiditätsvorschau!$Y$8:'Liquiditätsvorschau'!Y21)</f>
        <v>-5330.1731101554979</v>
      </c>
      <c r="P21" s="84">
        <f t="shared" si="1"/>
        <v>14</v>
      </c>
      <c r="Q21" s="84" t="str">
        <f t="shared" ca="1" si="5"/>
        <v>Nein</v>
      </c>
      <c r="R21" s="86">
        <f>Liquiditätsvorschau!A21</f>
        <v>48945</v>
      </c>
      <c r="S21" s="87">
        <f ca="1">SUM(Liquiditätsvorschau!$Z$8:'Liquiditätsvorschau'!Z21)</f>
        <v>-5019.6077133097915</v>
      </c>
      <c r="T21" s="84">
        <f t="shared" si="3"/>
        <v>14</v>
      </c>
      <c r="V21" s="88">
        <f ca="1">Liquiditätsvorschau!V21+'Darlehen 1'!J33+'Darlehen 2'!J33+'Darlehen 3'!J33</f>
        <v>622.89341495327824</v>
      </c>
    </row>
    <row r="22" spans="1:22" s="49" customFormat="1" ht="15.75">
      <c r="A22" s="202"/>
      <c r="B22" s="48" t="s">
        <v>136</v>
      </c>
      <c r="K22" s="202"/>
      <c r="M22" s="49" t="str">
        <f t="shared" ca="1" si="4"/>
        <v>Nein</v>
      </c>
      <c r="N22" s="93">
        <f>Liquiditätsvorschau!A22</f>
        <v>49310</v>
      </c>
      <c r="O22" s="94">
        <f ca="1">SUM(Liquiditätsvorschau!$Y$8:'Liquiditätsvorschau'!Y22)</f>
        <v>-4706.4753580367269</v>
      </c>
      <c r="P22" s="49">
        <f t="shared" si="1"/>
        <v>15</v>
      </c>
      <c r="Q22" s="49" t="str">
        <f t="shared" ca="1" si="5"/>
        <v>Nein</v>
      </c>
      <c r="R22" s="93">
        <f>Liquiditätsvorschau!A22</f>
        <v>49310</v>
      </c>
      <c r="S22" s="94">
        <f ca="1">SUM(Liquiditätsvorschau!$Z$8:'Liquiditätsvorschau'!Z22)</f>
        <v>-4546.9227640871177</v>
      </c>
      <c r="T22" s="49">
        <f t="shared" si="3"/>
        <v>15</v>
      </c>
      <c r="V22" s="89">
        <f ca="1">Liquiditätsvorschau!V22+'Darlehen 1'!J34+'Darlehen 2'!J34+'Darlehen 3'!J34</f>
        <v>642.6977521187705</v>
      </c>
    </row>
    <row r="23" spans="1:22" ht="6" customHeight="1">
      <c r="B23" s="22"/>
      <c r="C23" s="22"/>
      <c r="D23" s="22"/>
      <c r="E23" s="22"/>
      <c r="F23" s="22"/>
      <c r="G23" s="22"/>
      <c r="H23" s="22"/>
      <c r="I23" s="22"/>
      <c r="J23" s="22"/>
      <c r="L23" s="22"/>
      <c r="M23" s="84" t="str">
        <f t="shared" ca="1" si="4"/>
        <v>Nein</v>
      </c>
      <c r="N23" s="86">
        <f>Liquiditätsvorschau!A23</f>
        <v>49675</v>
      </c>
      <c r="O23" s="87">
        <f ca="1">SUM(Liquiditätsvorschau!$Y$8:'Liquiditätsvorschau'!Y23)</f>
        <v>-4085.9166425164744</v>
      </c>
      <c r="P23" s="84">
        <f t="shared" si="1"/>
        <v>16</v>
      </c>
      <c r="Q23" s="84" t="str">
        <f t="shared" ca="1" si="5"/>
        <v>Nein</v>
      </c>
      <c r="R23" s="86">
        <f>Liquiditätsvorschau!A23</f>
        <v>49675</v>
      </c>
      <c r="S23" s="87">
        <f ca="1">SUM(Liquiditätsvorschau!$Z$8:'Liquiditätsvorschau'!Z23)</f>
        <v>-4085.8384976328148</v>
      </c>
      <c r="T23" s="84">
        <f t="shared" si="3"/>
        <v>16</v>
      </c>
      <c r="V23" s="88">
        <f ca="1">Liquiditätsvorschau!V23+'Darlehen 1'!J35+'Darlehen 2'!J35+'Darlehen 3'!J35</f>
        <v>636.55871552025258</v>
      </c>
    </row>
    <row r="24" spans="1:22">
      <c r="B24" s="22" t="s">
        <v>139</v>
      </c>
      <c r="C24" s="22"/>
      <c r="D24" s="22"/>
      <c r="E24" s="22"/>
      <c r="F24" s="22"/>
      <c r="G24" s="34">
        <f ca="1">IRR(V7:V28)</f>
        <v>-1.1387369047194396E-3</v>
      </c>
      <c r="H24" s="22"/>
      <c r="I24" s="22"/>
      <c r="J24" s="22"/>
      <c r="L24" s="22"/>
      <c r="M24" s="84" t="str">
        <f t="shared" ca="1" si="4"/>
        <v>Nein</v>
      </c>
      <c r="N24" s="86">
        <f>Liquiditätsvorschau!A24</f>
        <v>50041</v>
      </c>
      <c r="O24" s="87">
        <f ca="1">SUM(Liquiditätsvorschau!$Y$8:'Liquiditätsvorschau'!Y24)</f>
        <v>-3467.550314684971</v>
      </c>
      <c r="P24" s="84">
        <f t="shared" si="1"/>
        <v>17</v>
      </c>
      <c r="Q24" s="84" t="str">
        <f t="shared" ca="1" si="5"/>
        <v>Nein</v>
      </c>
      <c r="R24" s="86">
        <f>Liquiditätsvorschau!A24</f>
        <v>50041</v>
      </c>
      <c r="S24" s="87">
        <f ca="1">SUM(Liquiditätsvorschau!$Z$8:'Liquiditätsvorschau'!Z24)</f>
        <v>-3635.3921347821124</v>
      </c>
      <c r="T24" s="84">
        <f t="shared" si="3"/>
        <v>17</v>
      </c>
      <c r="V24" s="88">
        <f ca="1">Liquiditätsvorschau!V24+'Darlehen 1'!J36+'Darlehen 2'!J36+'Darlehen 3'!J36</f>
        <v>630.36632783150333</v>
      </c>
    </row>
    <row r="25" spans="1:22" ht="5.25" customHeight="1">
      <c r="B25" s="22"/>
      <c r="C25" s="22"/>
      <c r="D25" s="22"/>
      <c r="E25" s="22"/>
      <c r="F25" s="22"/>
      <c r="G25" s="22"/>
      <c r="H25" s="22"/>
      <c r="I25" s="22"/>
      <c r="J25" s="22"/>
      <c r="L25" s="22"/>
      <c r="M25" s="84" t="str">
        <f t="shared" ca="1" si="4"/>
        <v>Nein</v>
      </c>
      <c r="N25" s="86">
        <f>Liquiditätsvorschau!A25</f>
        <v>50406</v>
      </c>
      <c r="O25" s="87">
        <f ca="1">SUM(Liquiditätsvorschau!$Y$8:'Liquiditätsvorschau'!Y25)</f>
        <v>-2852.4311181894232</v>
      </c>
      <c r="P25" s="84">
        <f t="shared" si="1"/>
        <v>18</v>
      </c>
      <c r="Q25" s="84" t="str">
        <f t="shared" ca="1" si="5"/>
        <v>Nein</v>
      </c>
      <c r="R25" s="86">
        <f>Liquiditätsvorschau!A25</f>
        <v>50406</v>
      </c>
      <c r="S25" s="87">
        <f ca="1">SUM(Liquiditätsvorschau!$Z$8:'Liquiditätsvorschau'!Z25)</f>
        <v>-3196.0970331914796</v>
      </c>
      <c r="T25" s="84">
        <f t="shared" si="3"/>
        <v>18</v>
      </c>
      <c r="V25" s="88">
        <f ca="1">Liquiditätsvorschau!V25+'Darlehen 1'!J37+'Darlehen 2'!J37+'Darlehen 3'!J37</f>
        <v>624.11919649554784</v>
      </c>
    </row>
    <row r="26" spans="1:22">
      <c r="B26" s="22" t="s">
        <v>138</v>
      </c>
      <c r="C26" s="22"/>
      <c r="D26" s="22"/>
      <c r="E26" s="22"/>
      <c r="F26" s="22"/>
      <c r="G26" s="34">
        <f ca="1">IRR(V7:V38)</f>
        <v>4.2599270279067847E-2</v>
      </c>
      <c r="H26" s="22"/>
      <c r="I26" s="22"/>
      <c r="J26" s="22"/>
      <c r="L26" s="22"/>
      <c r="M26" s="84" t="str">
        <f t="shared" ca="1" si="4"/>
        <v>Nein</v>
      </c>
      <c r="N26" s="86">
        <f>Liquiditätsvorschau!A26</f>
        <v>50771</v>
      </c>
      <c r="O26" s="87">
        <f ca="1">SUM(Liquiditätsvorschau!$Y$8:'Liquiditätsvorschau'!Y26)</f>
        <v>-2239.6152111172005</v>
      </c>
      <c r="P26" s="84">
        <f t="shared" si="1"/>
        <v>19</v>
      </c>
      <c r="Q26" s="84" t="str">
        <f t="shared" ca="1" si="5"/>
        <v>Nein</v>
      </c>
      <c r="R26" s="86">
        <f>Liquiditätsvorschau!A26</f>
        <v>50771</v>
      </c>
      <c r="S26" s="87">
        <f ca="1">SUM(Liquiditätsvorschau!$Z$8:'Liquiditätsvorschau'!Z26)</f>
        <v>-2767.0282307268003</v>
      </c>
      <c r="T26" s="84">
        <f t="shared" si="3"/>
        <v>19</v>
      </c>
      <c r="V26" s="88">
        <f ca="1">Liquiditätsvorschau!V26+'Darlehen 1'!J38+'Darlehen 2'!J38+'Darlehen 3'!J38</f>
        <v>617.8159070722229</v>
      </c>
    </row>
    <row r="27" spans="1:22">
      <c r="B27" s="22"/>
      <c r="C27" s="22"/>
      <c r="D27" s="22"/>
      <c r="E27" s="22"/>
      <c r="F27" s="22"/>
      <c r="G27" s="22"/>
      <c r="H27" s="22"/>
      <c r="I27" s="22"/>
      <c r="J27" s="22"/>
      <c r="L27" s="22"/>
      <c r="M27" s="84" t="str">
        <f t="shared" ca="1" si="4"/>
        <v>Nein</v>
      </c>
      <c r="N27" s="86">
        <f>Liquiditätsvorschau!A27</f>
        <v>51136</v>
      </c>
      <c r="O27" s="87">
        <f ca="1">SUM(Liquiditätsvorschau!$Y$8:'Liquiditätsvorschau'!Y27)</f>
        <v>-1630.1601882415628</v>
      </c>
      <c r="P27" s="84">
        <f t="shared" si="1"/>
        <v>20</v>
      </c>
      <c r="Q27" s="84" t="str">
        <f t="shared" ca="1" si="5"/>
        <v>Nein</v>
      </c>
      <c r="R27" s="86">
        <f>Liquiditätsvorschau!A27</f>
        <v>51136</v>
      </c>
      <c r="S27" s="87">
        <f ca="1">SUM(Liquiditätsvorschau!$Z$8:'Liquiditätsvorschau'!Z27)</f>
        <v>-2348.6795563285</v>
      </c>
      <c r="T27" s="84">
        <f t="shared" si="3"/>
        <v>20</v>
      </c>
      <c r="V27" s="88">
        <f ca="1">Liquiditätsvorschau!V27+'Darlehen 1'!J39+'Darlehen 2'!J39+'Darlehen 3'!J39</f>
        <v>611.45502287563772</v>
      </c>
    </row>
    <row r="28" spans="1:22" hidden="1">
      <c r="B28" s="22"/>
      <c r="C28" s="22"/>
      <c r="D28" s="22"/>
      <c r="E28" s="22"/>
      <c r="F28" s="22"/>
      <c r="G28" s="22"/>
      <c r="H28" s="22"/>
      <c r="I28" s="22"/>
      <c r="J28" s="22"/>
      <c r="L28" s="22"/>
      <c r="M28" s="84" t="str">
        <f t="shared" ca="1" si="4"/>
        <v>Nein</v>
      </c>
      <c r="N28" s="86">
        <f>Liquiditätsvorschau!A28</f>
        <v>51502</v>
      </c>
      <c r="O28" s="87">
        <f ca="1">SUM(Liquiditätsvorschau!$Y$8:'Liquiditätsvorschau'!Y28)</f>
        <v>-1066.1251036355861</v>
      </c>
      <c r="P28" s="84">
        <f t="shared" si="1"/>
        <v>21</v>
      </c>
      <c r="Q28" s="84" t="str">
        <f t="shared" ca="1" si="5"/>
        <v>Nein</v>
      </c>
      <c r="R28" s="86">
        <f>Liquiditätsvorschau!A28</f>
        <v>51502</v>
      </c>
      <c r="S28" s="87">
        <f ca="1">SUM(Liquiditätsvorschau!$Z$8:'Liquiditätsvorschau'!Z28)</f>
        <v>-1969.1001135214999</v>
      </c>
      <c r="T28" s="84">
        <f t="shared" si="3"/>
        <v>21</v>
      </c>
      <c r="V28" s="88">
        <f ca="1">Liquiditätsvorschau!V28+'Darlehen 1'!J40+'Darlehen 2'!J40+'Darlehen 3'!J40</f>
        <v>605.03508460597652</v>
      </c>
    </row>
    <row r="29" spans="1:22" hidden="1">
      <c r="B29" s="22"/>
      <c r="C29" s="22"/>
      <c r="D29" s="22"/>
      <c r="E29" s="22"/>
      <c r="F29" s="22"/>
      <c r="G29" s="22"/>
      <c r="H29" s="22"/>
      <c r="I29" s="22"/>
      <c r="J29" s="22"/>
      <c r="L29" s="22"/>
      <c r="M29" s="84" t="str">
        <f t="shared" ca="1" si="4"/>
        <v>Nein</v>
      </c>
      <c r="N29" s="86">
        <f>Liquiditätsvorschau!A29</f>
        <v>51867</v>
      </c>
      <c r="O29" s="87">
        <f ca="1">SUM(Liquiditätsvorschau!$Y$8:'Liquiditätsvorschau'!Y29)</f>
        <v>-52.295480544783004</v>
      </c>
      <c r="P29" s="84">
        <f t="shared" si="1"/>
        <v>22</v>
      </c>
      <c r="Q29" s="84" t="str">
        <f t="shared" ca="1" si="5"/>
        <v>Nein</v>
      </c>
      <c r="R29" s="86">
        <f>Liquiditätsvorschau!A29</f>
        <v>51867</v>
      </c>
      <c r="S29" s="87">
        <f ca="1">SUM(Liquiditätsvorschau!$Z$8:'Liquiditätsvorschau'!Z29)</f>
        <v>-1300.1998458785024</v>
      </c>
      <c r="T29" s="84">
        <f t="shared" si="3"/>
        <v>22</v>
      </c>
      <c r="V29" s="88">
        <f ca="1">Liquiditätsvorschau!V29+'Darlehen 1'!J41+'Darlehen 2'!J41+'Darlehen 3'!J41</f>
        <v>1370.8296230908031</v>
      </c>
    </row>
    <row r="30" spans="1:22" hidden="1">
      <c r="B30" s="22"/>
      <c r="C30" s="22"/>
      <c r="D30" s="22"/>
      <c r="E30" s="22"/>
      <c r="F30" s="22"/>
      <c r="G30" s="22"/>
      <c r="H30" s="22"/>
      <c r="I30" s="22"/>
      <c r="J30" s="22"/>
      <c r="L30" s="22"/>
      <c r="M30" s="84" t="str">
        <f t="shared" ca="1" si="4"/>
        <v>Ja</v>
      </c>
      <c r="N30" s="86">
        <f>Liquiditätsvorschau!A30</f>
        <v>52232</v>
      </c>
      <c r="O30" s="87">
        <f ca="1">SUM(Liquiditätsvorschau!$Y$8:'Liquiditätsvorschau'!Y30)</f>
        <v>970.08698641712544</v>
      </c>
      <c r="P30" s="84">
        <f t="shared" si="1"/>
        <v>23</v>
      </c>
      <c r="Q30" s="84" t="str">
        <f t="shared" ca="1" si="5"/>
        <v>Nein</v>
      </c>
      <c r="R30" s="86">
        <f>Liquiditätsvorschau!A30</f>
        <v>52232</v>
      </c>
      <c r="S30" s="87">
        <f ca="1">SUM(Liquiditätsvorschau!$Z$8:'Liquiditätsvorschau'!Z30)</f>
        <v>-638.88295647283121</v>
      </c>
      <c r="T30" s="84">
        <f t="shared" si="3"/>
        <v>23</v>
      </c>
      <c r="V30" s="88">
        <f ca="1">Liquiditätsvorschau!V30+'Darlehen 1'!J42+'Darlehen 2'!J42+'Darlehen 3'!J42</f>
        <v>1381.3824669619084</v>
      </c>
    </row>
    <row r="31" spans="1:22" hidden="1">
      <c r="B31" s="22"/>
      <c r="C31" s="22"/>
      <c r="D31" s="22"/>
      <c r="E31" s="22"/>
      <c r="F31" s="22"/>
      <c r="G31" s="22"/>
      <c r="H31" s="22"/>
      <c r="I31" s="22"/>
      <c r="J31" s="22"/>
      <c r="L31" s="22"/>
      <c r="M31" s="84" t="str">
        <f t="shared" ca="1" si="4"/>
        <v>Nein</v>
      </c>
      <c r="N31" s="86">
        <f>Liquiditätsvorschau!A31</f>
        <v>52597</v>
      </c>
      <c r="O31" s="87">
        <f ca="1">SUM(Liquiditätsvorschau!$Y$8:'Liquiditätsvorschau'!Y31)</f>
        <v>2000.0812446234888</v>
      </c>
      <c r="P31" s="84">
        <f t="shared" si="1"/>
        <v>24</v>
      </c>
      <c r="Q31" s="84" t="str">
        <f t="shared" ca="1" si="5"/>
        <v>Ja</v>
      </c>
      <c r="R31" s="86">
        <f>Liquiditätsvorschau!A31</f>
        <v>52597</v>
      </c>
      <c r="S31" s="87">
        <f ca="1">SUM(Liquiditätsvorschau!$Z$8:'Liquiditätsvorschau'!Z31)</f>
        <v>14.293997563306448</v>
      </c>
      <c r="T31" s="84">
        <f t="shared" si="3"/>
        <v>24</v>
      </c>
      <c r="V31" s="88">
        <f ca="1">Liquiditätsvorschau!V31+'Darlehen 1'!J43+'Darlehen 2'!J43+'Darlehen 3'!J43</f>
        <v>1391.9942582063634</v>
      </c>
    </row>
    <row r="32" spans="1:22" hidden="1">
      <c r="B32" s="22"/>
      <c r="C32" s="22"/>
      <c r="D32" s="22"/>
      <c r="E32" s="22"/>
      <c r="F32" s="22"/>
      <c r="G32" s="22"/>
      <c r="H32" s="22"/>
      <c r="I32" s="22"/>
      <c r="J32" s="22"/>
      <c r="L32" s="22"/>
      <c r="M32" s="84" t="str">
        <f t="shared" ca="1" si="4"/>
        <v>Nein</v>
      </c>
      <c r="N32" s="86">
        <f>Liquiditätsvorschau!A32</f>
        <v>52963</v>
      </c>
      <c r="O32" s="87">
        <f ca="1">SUM(Liquiditätsvorschau!$Y$8:'Liquiditätsvorschau'!Y32)</f>
        <v>3037.7461396563067</v>
      </c>
      <c r="P32" s="84">
        <f t="shared" si="1"/>
        <v>25</v>
      </c>
      <c r="Q32" s="84" t="str">
        <f t="shared" ca="1" si="5"/>
        <v>Nein</v>
      </c>
      <c r="R32" s="86">
        <f>Liquiditätsvorschau!A32</f>
        <v>52963</v>
      </c>
      <c r="S32" s="87">
        <f ca="1">SUM(Liquiditätsvorschau!$Z$8:'Liquiditätsvorschau'!Z32)</f>
        <v>659.4325600850151</v>
      </c>
      <c r="T32" s="84">
        <f t="shared" si="3"/>
        <v>25</v>
      </c>
      <c r="V32" s="88">
        <f ca="1">Liquiditätsvorschau!V32+'Darlehen 1'!J44+'Darlehen 2'!J44+'Darlehen 3'!J44</f>
        <v>1402.6648950328176</v>
      </c>
    </row>
    <row r="33" spans="2:22" hidden="1">
      <c r="B33" s="22"/>
      <c r="C33" s="22"/>
      <c r="D33" s="22"/>
      <c r="E33" s="22"/>
      <c r="F33" s="22"/>
      <c r="G33" s="22"/>
      <c r="H33" s="22"/>
      <c r="I33" s="22"/>
      <c r="J33" s="22"/>
      <c r="L33" s="22"/>
      <c r="M33" s="84" t="str">
        <f t="shared" ca="1" si="4"/>
        <v>Nein</v>
      </c>
      <c r="N33" s="86">
        <f>Liquiditätsvorschau!A33</f>
        <v>53328</v>
      </c>
      <c r="O33" s="87">
        <f ca="1">SUM(Liquiditätsvorschau!$Y$8:'Liquiditätsvorschau'!Y33)</f>
        <v>4084.1404039932872</v>
      </c>
      <c r="P33" s="84">
        <f t="shared" si="1"/>
        <v>26</v>
      </c>
      <c r="Q33" s="84" t="str">
        <f t="shared" ca="1" si="5"/>
        <v>Nein</v>
      </c>
      <c r="R33" s="86">
        <f>Liquiditätsvorschau!A33</f>
        <v>53328</v>
      </c>
      <c r="S33" s="87">
        <f ca="1">SUM(Liquiditätsvorschau!$Z$8:'Liquiditätsvorschau'!Z33)</f>
        <v>1297.2421669421333</v>
      </c>
      <c r="T33" s="84">
        <f t="shared" si="3"/>
        <v>26</v>
      </c>
      <c r="V33" s="88">
        <f ca="1">Liquiditätsvorschau!V33+'Darlehen 1'!J45+'Darlehen 2'!J45+'Darlehen 3'!J45</f>
        <v>1413.3942643369805</v>
      </c>
    </row>
    <row r="34" spans="2:22" hidden="1">
      <c r="B34" s="22"/>
      <c r="C34" s="22"/>
      <c r="D34" s="22"/>
      <c r="E34" s="22"/>
      <c r="F34" s="22"/>
      <c r="G34" s="22"/>
      <c r="H34" s="22"/>
      <c r="I34" s="22"/>
      <c r="J34" s="22"/>
      <c r="L34" s="22"/>
      <c r="M34" s="84" t="str">
        <f t="shared" ca="1" si="4"/>
        <v>Nein</v>
      </c>
      <c r="N34" s="86">
        <f>Liquiditätsvorschau!A34</f>
        <v>53693</v>
      </c>
      <c r="O34" s="87">
        <f ca="1">SUM(Liquiditätsvorschau!$Y$8:'Liquiditätsvorschau'!Y34)</f>
        <v>5138.3226454280893</v>
      </c>
      <c r="P34" s="84">
        <f t="shared" si="1"/>
        <v>27</v>
      </c>
      <c r="Q34" s="84" t="str">
        <f t="shared" ca="1" si="5"/>
        <v>Nein</v>
      </c>
      <c r="R34" s="86">
        <f>Liquiditätsvorschau!A34</f>
        <v>53693</v>
      </c>
      <c r="S34" s="87">
        <f ca="1">SUM(Liquiditätsvorschau!$Z$8:'Liquiditätsvorschau'!Z34)</f>
        <v>1927.1996368609643</v>
      </c>
      <c r="T34" s="84">
        <f t="shared" si="3"/>
        <v>27</v>
      </c>
      <c r="V34" s="88">
        <f ca="1">Liquiditätsvorschau!V34+'Darlehen 1'!J46+'Darlehen 2'!J46+'Darlehen 3'!J46</f>
        <v>1424.1822414348023</v>
      </c>
    </row>
    <row r="35" spans="2:22" hidden="1">
      <c r="B35" s="22"/>
      <c r="C35" s="22"/>
      <c r="D35" s="22"/>
      <c r="E35" s="22"/>
      <c r="F35" s="22"/>
      <c r="G35" s="22"/>
      <c r="H35" s="22"/>
      <c r="I35" s="22"/>
      <c r="J35" s="22"/>
      <c r="L35" s="22"/>
      <c r="M35" s="84" t="str">
        <f t="shared" ca="1" si="4"/>
        <v>Nein</v>
      </c>
      <c r="N35" s="86">
        <f>Liquiditätsvorschau!A35</f>
        <v>54058</v>
      </c>
      <c r="O35" s="87">
        <f ca="1">SUM(Liquiditätsvorschau!$Y$8:'Liquiditätsvorschau'!Y35)</f>
        <v>6200.3513352187729</v>
      </c>
      <c r="P35" s="84">
        <f t="shared" si="1"/>
        <v>28</v>
      </c>
      <c r="Q35" s="84" t="str">
        <f t="shared" ca="1" si="5"/>
        <v>Nein</v>
      </c>
      <c r="R35" s="86">
        <f>Liquiditätsvorschau!A35</f>
        <v>54058</v>
      </c>
      <c r="S35" s="87">
        <f ca="1">SUM(Liquiditätsvorschau!$Z$8:'Liquiditätsvorschau'!Z35)</f>
        <v>2549.4019357980305</v>
      </c>
      <c r="T35" s="84">
        <f t="shared" si="3"/>
        <v>28</v>
      </c>
      <c r="V35" s="88">
        <f ca="1">Liquiditätsvorschau!V35+'Darlehen 1'!J47+'Darlehen 2'!J47+'Darlehen 3'!J47</f>
        <v>1435.0286897906838</v>
      </c>
    </row>
    <row r="36" spans="2:22" hidden="1">
      <c r="B36" s="22"/>
      <c r="C36" s="22"/>
      <c r="D36" s="22"/>
      <c r="E36" s="22"/>
      <c r="F36" s="22"/>
      <c r="G36" s="22"/>
      <c r="H36" s="22"/>
      <c r="I36" s="22"/>
      <c r="J36" s="22"/>
      <c r="L36" s="22"/>
      <c r="M36" s="84" t="str">
        <f t="shared" ca="1" si="4"/>
        <v>Nein</v>
      </c>
      <c r="N36" s="86">
        <f>Liquiditätsvorschau!A36</f>
        <v>54424</v>
      </c>
      <c r="O36" s="87">
        <f ca="1">SUM(Liquiditätsvorschau!$Y$8:'Liquiditätsvorschau'!Y36)</f>
        <v>7271.2847959594146</v>
      </c>
      <c r="P36" s="84">
        <f t="shared" si="1"/>
        <v>29</v>
      </c>
      <c r="Q36" s="84" t="str">
        <f t="shared" ca="1" si="5"/>
        <v>Nein</v>
      </c>
      <c r="R36" s="86">
        <f>Liquiditätsvorschau!A36</f>
        <v>54424</v>
      </c>
      <c r="S36" s="87">
        <f ca="1">SUM(Liquiditätsvorschau!$Z$8:'Liquiditätsvorschau'!Z36)</f>
        <v>3164.5188634909109</v>
      </c>
      <c r="T36" s="84">
        <f t="shared" si="3"/>
        <v>29</v>
      </c>
      <c r="V36" s="88">
        <f ca="1">Liquiditätsvorschau!V36+'Darlehen 1'!J48+'Darlehen 2'!J48+'Darlehen 3'!J48</f>
        <v>1445.9334607406422</v>
      </c>
    </row>
    <row r="37" spans="2:22" hidden="1">
      <c r="B37" s="22"/>
      <c r="C37" s="22"/>
      <c r="D37" s="22"/>
      <c r="E37" s="22"/>
      <c r="F37" s="22"/>
      <c r="G37" s="22"/>
      <c r="H37" s="22"/>
      <c r="I37" s="22"/>
      <c r="J37" s="22"/>
      <c r="L37" s="22"/>
      <c r="M37" s="84" t="str">
        <f t="shared" ca="1" si="4"/>
        <v>Nein</v>
      </c>
      <c r="N37" s="86">
        <f>Liquiditätsvorschau!A37</f>
        <v>54789</v>
      </c>
      <c r="O37" s="87">
        <f ca="1">SUM(Liquiditätsvorschau!$Y$8:'Liquiditätsvorschau'!Y37)</f>
        <v>8350.1811891697489</v>
      </c>
      <c r="P37" s="84">
        <f t="shared" si="1"/>
        <v>30</v>
      </c>
      <c r="Q37" s="84" t="str">
        <f t="shared" ca="1" si="5"/>
        <v>Nein</v>
      </c>
      <c r="R37" s="86">
        <f>Liquiditätsvorschau!A37</f>
        <v>54789</v>
      </c>
      <c r="S37" s="87">
        <f ca="1">SUM(Liquiditätsvorschau!$Z$8:'Liquiditätsvorschau'!Z37)</f>
        <v>4067.2911018406771</v>
      </c>
      <c r="T37" s="84">
        <f t="shared" si="3"/>
        <v>30</v>
      </c>
      <c r="V37" s="88">
        <f ca="1">Liquiditätsvorschau!V37+'Darlehen 1'!J49+'Darlehen 2'!J49+'Darlehen 3'!J49</f>
        <v>1456.896393210335</v>
      </c>
    </row>
    <row r="38" spans="2:22" hidden="1">
      <c r="B38" s="22"/>
      <c r="C38" s="22"/>
      <c r="D38" s="22"/>
      <c r="E38" s="22"/>
      <c r="F38" s="22"/>
      <c r="G38" s="22"/>
      <c r="H38" s="22"/>
      <c r="I38" s="22"/>
      <c r="J38" s="22"/>
      <c r="L38" s="22"/>
      <c r="M38" s="84" t="str">
        <f t="shared" ca="1" si="4"/>
        <v>Nein</v>
      </c>
      <c r="N38" s="86">
        <f>Liquiditätsvorschau!A38</f>
        <v>55154</v>
      </c>
      <c r="O38" s="87">
        <f ca="1">SUM(Liquiditätsvorschau!$Y$8:'Liquiditätsvorschau'!Y38)</f>
        <v>9437.098502597617</v>
      </c>
      <c r="P38" s="84">
        <f t="shared" si="1"/>
        <v>31</v>
      </c>
      <c r="Q38" s="84" t="str">
        <f t="shared" ca="1" si="5"/>
        <v>Nein</v>
      </c>
      <c r="R38" s="86">
        <f>Liquiditätsvorschau!A38</f>
        <v>55154</v>
      </c>
      <c r="S38" s="87">
        <f ca="1">SUM(Liquiditätsvorschau!$Z$8:'Liquiditätsvorschau'!Z38)</f>
        <v>4667.3465093124578</v>
      </c>
      <c r="T38" s="84">
        <f t="shared" si="3"/>
        <v>31</v>
      </c>
      <c r="V38" s="88">
        <f ca="1">Liquiditätsvorschau!V38+'Darlehen 1'!J50+'Darlehen 2'!J50+'Darlehen 3'!J50</f>
        <v>1467.9173134278676</v>
      </c>
    </row>
  </sheetData>
  <sheetProtection algorithmName="SHA-512" hashValue="xyM9DoB4XL0Jbf8YxmrEnuCEujn0M1f4AGEnLSVSFjz1+fhEPk1FuKrR2yFWFbXTEWZavD6GGVKq/bkxieahTQ==" saltValue="suECIzYdV30rftklHCpLTA==" spinCount="100000" sheet="1" objects="1" scenarios="1"/>
  <mergeCells count="1">
    <mergeCell ref="B1:E1"/>
  </mergeCells>
  <pageMargins left="0.70866141732283472" right="0.70866141732283472" top="0.78740157480314965" bottom="0.78740157480314965" header="0.31496062992125984" footer="0.31496062992125984"/>
  <pageSetup paperSize="9" scale="81" orientation="portrait" r:id="rId1"/>
  <headerFooter>
    <oddHeader>&amp;L&amp;F&amp;R&amp;D</oddHeader>
    <oddFooter>&amp;CSeite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>
    <pageSetUpPr fitToPage="1"/>
  </sheetPr>
  <dimension ref="A1:P116"/>
  <sheetViews>
    <sheetView showGridLines="0" zoomScale="80" zoomScaleNormal="80" zoomScaleSheetLayoutView="80" workbookViewId="0">
      <selection activeCell="B1" sqref="B1:E1"/>
    </sheetView>
  </sheetViews>
  <sheetFormatPr baseColWidth="10" defaultColWidth="0" defaultRowHeight="18.75" customHeight="1" zeroHeight="1"/>
  <cols>
    <col min="1" max="1" width="1.625" style="45" customWidth="1"/>
    <col min="2" max="3" width="11" style="99" customWidth="1"/>
    <col min="4" max="4" width="13" style="99" customWidth="1"/>
    <col min="5" max="14" width="11" style="99" customWidth="1"/>
    <col min="15" max="15" width="7.625" style="100" customWidth="1"/>
    <col min="16" max="16" width="1.625" style="45" customWidth="1"/>
    <col min="17" max="16384" width="11" style="45" hidden="1"/>
  </cols>
  <sheetData>
    <row r="1" spans="2:16" s="140" customFormat="1" ht="35.1" customHeight="1">
      <c r="B1" s="238" t="s">
        <v>247</v>
      </c>
      <c r="C1" s="239"/>
      <c r="D1" s="239"/>
      <c r="E1" s="239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6" ht="18.7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00"/>
    </row>
    <row r="3" spans="2:16" s="162" customFormat="1" ht="18.75" customHeight="1">
      <c r="B3" s="160" t="s">
        <v>140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  <c r="O3" s="161"/>
      <c r="P3" s="216"/>
    </row>
    <row r="4" spans="2:16" ht="18.75" customHeight="1">
      <c r="B4" s="44"/>
      <c r="C4" s="44"/>
      <c r="D4" s="44"/>
      <c r="E4" s="44"/>
      <c r="F4" s="95"/>
      <c r="G4" s="44"/>
      <c r="H4" s="44"/>
      <c r="I4" s="44"/>
      <c r="J4" s="44"/>
      <c r="K4" s="44"/>
      <c r="L4" s="44"/>
      <c r="M4" s="44"/>
      <c r="N4" s="100"/>
    </row>
    <row r="5" spans="2:16" ht="33" customHeight="1">
      <c r="B5" s="141" t="s">
        <v>73</v>
      </c>
      <c r="C5" s="132" t="s">
        <v>143</v>
      </c>
      <c r="D5" s="142" t="s">
        <v>144</v>
      </c>
      <c r="E5" s="44"/>
      <c r="F5" s="44"/>
      <c r="G5" s="44"/>
      <c r="H5" s="44"/>
      <c r="I5" s="44"/>
      <c r="J5" s="44"/>
      <c r="K5" s="44"/>
      <c r="L5" s="44"/>
      <c r="M5" s="44"/>
      <c r="N5" s="100"/>
    </row>
    <row r="6" spans="2:16" ht="18.75" customHeight="1">
      <c r="B6" s="141"/>
      <c r="C6" s="132"/>
      <c r="D6" s="142"/>
      <c r="E6" s="44"/>
      <c r="F6" s="44"/>
      <c r="G6" s="44"/>
      <c r="H6" s="44"/>
      <c r="I6" s="44"/>
      <c r="J6" s="44"/>
      <c r="K6" s="44"/>
      <c r="L6" s="44"/>
      <c r="M6" s="44"/>
      <c r="N6" s="100"/>
    </row>
    <row r="7" spans="2:16" ht="18.75" customHeight="1">
      <c r="B7" s="143"/>
      <c r="C7" s="144"/>
      <c r="D7" s="145"/>
      <c r="E7" s="44"/>
      <c r="F7" s="44"/>
      <c r="G7" s="44"/>
      <c r="H7" s="44"/>
      <c r="I7" s="44"/>
      <c r="J7" s="44"/>
      <c r="K7" s="44"/>
      <c r="L7" s="44"/>
      <c r="M7" s="44"/>
      <c r="N7" s="100"/>
    </row>
    <row r="8" spans="2:16" ht="18.75" customHeight="1">
      <c r="B8" s="143">
        <f>DATE(YEAR(Eingabe!E12),1,1)</f>
        <v>44197</v>
      </c>
      <c r="C8" s="146">
        <f ca="1">'Absetzung für Abnutzung'!E6-Finanzierung!E5-Finanzierung!E13-Finanzierung!E21+Liquiditätsvorschau!Y7+Liquiditätsvorschau!Y8</f>
        <v>2345.1783192133257</v>
      </c>
      <c r="D8" s="147">
        <f ca="1">IF(C8&lt;0,C8*Eingabe!$E$76,0)</f>
        <v>0</v>
      </c>
      <c r="E8" s="44"/>
      <c r="F8" s="44"/>
      <c r="G8" s="44"/>
      <c r="H8" s="44"/>
      <c r="I8" s="44"/>
      <c r="J8" s="44"/>
      <c r="K8" s="44"/>
      <c r="L8" s="44"/>
      <c r="M8" s="44"/>
      <c r="N8" s="100"/>
    </row>
    <row r="9" spans="2:16" ht="18.75" customHeight="1">
      <c r="B9" s="143">
        <f>EDATE(B8,12)</f>
        <v>44562</v>
      </c>
      <c r="C9" s="146">
        <f ca="1">C8+Liquiditätsvorschau!Y9</f>
        <v>2223.1296165476761</v>
      </c>
      <c r="D9" s="147">
        <f ca="1">IF(C9&lt;0,C9*Eingabe!$E$76,0)</f>
        <v>0</v>
      </c>
      <c r="E9" s="44"/>
      <c r="F9" s="44"/>
      <c r="G9" s="44"/>
      <c r="H9" s="44"/>
      <c r="I9" s="44"/>
      <c r="J9" s="44"/>
      <c r="K9" s="44"/>
      <c r="L9" s="44"/>
      <c r="M9" s="44"/>
      <c r="N9" s="100"/>
    </row>
    <row r="10" spans="2:16" ht="18.75" customHeight="1">
      <c r="B10" s="143">
        <f t="shared" ref="B10:B38" si="0">EDATE(B9,12)</f>
        <v>44927</v>
      </c>
      <c r="C10" s="146">
        <f ca="1">C9+Liquiditätsvorschau!Y10</f>
        <v>2101.5348913452681</v>
      </c>
      <c r="D10" s="147">
        <f ca="1">IF(C10&lt;0,C10*Eingabe!$E$76,0)</f>
        <v>0</v>
      </c>
      <c r="E10" s="44"/>
      <c r="F10" s="44"/>
      <c r="G10" s="44"/>
      <c r="H10" s="44"/>
      <c r="I10" s="44"/>
      <c r="J10" s="44"/>
      <c r="K10" s="44"/>
      <c r="L10" s="44"/>
      <c r="M10" s="44"/>
      <c r="N10" s="100"/>
    </row>
    <row r="11" spans="2:16" ht="18.75" customHeight="1">
      <c r="B11" s="143">
        <f t="shared" si="0"/>
        <v>45292</v>
      </c>
      <c r="C11" s="146">
        <f ca="1">C10+Liquiditätsvorschau!Y11</f>
        <v>1981.3570595657793</v>
      </c>
      <c r="D11" s="147">
        <f ca="1">IF(C11&lt;0,C11*Eingabe!$E$76,0)</f>
        <v>0</v>
      </c>
      <c r="E11" s="44"/>
      <c r="F11" s="44"/>
      <c r="G11" s="44"/>
      <c r="H11" s="44"/>
      <c r="I11" s="44"/>
      <c r="J11" s="44"/>
      <c r="K11" s="44"/>
      <c r="L11" s="44"/>
      <c r="M11" s="44"/>
      <c r="N11" s="100"/>
    </row>
    <row r="12" spans="2:16" ht="18.75" customHeight="1">
      <c r="B12" s="143">
        <f t="shared" si="0"/>
        <v>45658</v>
      </c>
      <c r="C12" s="146">
        <f ca="1">C11+Liquiditätsvorschau!Y12</f>
        <v>1861.557898524331</v>
      </c>
      <c r="D12" s="147">
        <f ca="1">IF(C12&lt;0,C12*Eingabe!$E$76,0)</f>
        <v>0</v>
      </c>
      <c r="E12" s="44"/>
      <c r="F12" s="44"/>
      <c r="G12" s="44"/>
      <c r="H12" s="44"/>
      <c r="I12" s="44"/>
      <c r="J12" s="44"/>
      <c r="K12" s="44"/>
      <c r="L12" s="44"/>
      <c r="M12" s="44"/>
      <c r="N12" s="100"/>
    </row>
    <row r="13" spans="2:16" ht="18.75" customHeight="1">
      <c r="B13" s="143">
        <f t="shared" si="0"/>
        <v>46023</v>
      </c>
      <c r="C13" s="146">
        <f ca="1">C12+Liquiditätsvorschau!Y13</f>
        <v>1711.0980292441409</v>
      </c>
      <c r="D13" s="147">
        <f ca="1">IF(C13&lt;0,C13*Eingabe!$E$76,0)</f>
        <v>0</v>
      </c>
      <c r="E13" s="44"/>
      <c r="F13" s="44"/>
      <c r="G13" s="44"/>
      <c r="H13" s="44"/>
      <c r="I13" s="44"/>
      <c r="J13" s="44"/>
      <c r="K13" s="44"/>
      <c r="L13" s="44"/>
      <c r="M13" s="44"/>
      <c r="N13" s="100"/>
    </row>
    <row r="14" spans="2:16" ht="18.75" customHeight="1">
      <c r="B14" s="143">
        <f t="shared" si="0"/>
        <v>46388</v>
      </c>
      <c r="C14" s="146">
        <f ca="1">C13+Liquiditätsvorschau!Y14</f>
        <v>1560.936898512768</v>
      </c>
      <c r="D14" s="147">
        <f ca="1">IF(C14&lt;0,C14*Eingabe!$E$76,0)</f>
        <v>0</v>
      </c>
      <c r="E14" s="44"/>
      <c r="F14" s="44"/>
      <c r="G14" s="44"/>
      <c r="H14" s="44"/>
      <c r="I14" s="44"/>
      <c r="J14" s="44"/>
      <c r="K14" s="44"/>
      <c r="L14" s="44"/>
      <c r="M14" s="44"/>
      <c r="N14" s="100"/>
    </row>
    <row r="15" spans="2:16" ht="18.75" customHeight="1">
      <c r="B15" s="143">
        <f t="shared" si="0"/>
        <v>46753</v>
      </c>
      <c r="C15" s="146">
        <f ca="1">C14+Liquiditätsvorschau!Y15</f>
        <v>1411.0327606373228</v>
      </c>
      <c r="D15" s="147">
        <f ca="1">IF(C15&lt;0,C15*Eingabe!$E$76,0)</f>
        <v>0</v>
      </c>
      <c r="E15" s="44"/>
      <c r="F15" s="44"/>
      <c r="G15" s="44"/>
      <c r="H15" s="44"/>
      <c r="I15" s="44"/>
      <c r="J15" s="44"/>
      <c r="K15" s="44"/>
      <c r="L15" s="44"/>
      <c r="M15" s="44"/>
      <c r="N15" s="100"/>
    </row>
    <row r="16" spans="2:16" ht="18.75" customHeight="1">
      <c r="B16" s="143">
        <f t="shared" si="0"/>
        <v>47119</v>
      </c>
      <c r="C16" s="146">
        <f ca="1">C15+Liquiditätsvorschau!Y16</f>
        <v>1261.3426588939337</v>
      </c>
      <c r="D16" s="147">
        <f ca="1">IF(C16&lt;0,C16*Eingabe!$E$76,0)</f>
        <v>0</v>
      </c>
      <c r="E16" s="44"/>
      <c r="F16" s="44"/>
      <c r="G16" s="44"/>
      <c r="H16" s="44"/>
      <c r="I16" s="44"/>
      <c r="J16" s="44"/>
      <c r="K16" s="44"/>
      <c r="L16" s="44"/>
      <c r="M16" s="44"/>
      <c r="N16" s="100"/>
    </row>
    <row r="17" spans="2:14" ht="18.75" customHeight="1">
      <c r="B17" s="143">
        <f t="shared" si="0"/>
        <v>47484</v>
      </c>
      <c r="C17" s="146">
        <f ca="1">C16+Liquiditätsvorschau!Y17</f>
        <v>1112.822406666704</v>
      </c>
      <c r="D17" s="147">
        <f ca="1">IF(C17&lt;0,C17*Eingabe!$E$76,0)</f>
        <v>0</v>
      </c>
      <c r="E17" s="44"/>
      <c r="F17" s="44"/>
      <c r="G17" s="44"/>
      <c r="H17" s="44"/>
      <c r="I17" s="44"/>
      <c r="J17" s="44"/>
      <c r="K17" s="44"/>
      <c r="L17" s="44"/>
      <c r="M17" s="44"/>
      <c r="N17" s="100"/>
    </row>
    <row r="18" spans="2:14" ht="18.75" customHeight="1">
      <c r="B18" s="143">
        <f t="shared" si="0"/>
        <v>47849</v>
      </c>
      <c r="C18" s="146">
        <f ca="1">C17+Liquiditätsvorschau!Y18</f>
        <v>-1977.1034997637598</v>
      </c>
      <c r="D18" s="147">
        <f ca="1">IF(C18&lt;0,C18*Eingabe!$E$76,0)</f>
        <v>-197.51263962639962</v>
      </c>
      <c r="E18" s="44"/>
      <c r="F18" s="44"/>
      <c r="G18" s="44"/>
      <c r="H18" s="44"/>
      <c r="I18" s="44"/>
      <c r="J18" s="44"/>
      <c r="K18" s="44"/>
      <c r="L18" s="44"/>
      <c r="M18" s="44"/>
      <c r="N18" s="100"/>
    </row>
    <row r="19" spans="2:14" ht="18.75" customHeight="1">
      <c r="B19" s="143">
        <f t="shared" si="0"/>
        <v>48214</v>
      </c>
      <c r="C19" s="146">
        <f ca="1">C18+Liquiditätsvorschau!Y19</f>
        <v>-1440.1679142438095</v>
      </c>
      <c r="D19" s="147">
        <f ca="1">IF(C19&lt;0,C19*Eingabe!$E$76,0)</f>
        <v>-143.87277463295658</v>
      </c>
      <c r="E19" s="44"/>
      <c r="F19" s="44"/>
      <c r="G19" s="44"/>
      <c r="H19" s="44"/>
      <c r="I19" s="44"/>
      <c r="J19" s="44"/>
      <c r="K19" s="44"/>
      <c r="L19" s="44"/>
      <c r="M19" s="44"/>
      <c r="N19" s="100"/>
    </row>
    <row r="20" spans="2:14" ht="18.75" customHeight="1">
      <c r="B20" s="143">
        <f t="shared" si="0"/>
        <v>48580</v>
      </c>
      <c r="C20" s="146">
        <f ca="1">C19+Liquiditätsvorschau!Y20</f>
        <v>-868.06652510877529</v>
      </c>
      <c r="D20" s="147">
        <f ca="1">IF(C20&lt;0,C20*Eingabe!$E$76,0)</f>
        <v>-86.719845858366654</v>
      </c>
      <c r="E20" s="44"/>
      <c r="F20" s="44"/>
      <c r="G20" s="44"/>
      <c r="H20" s="44"/>
      <c r="I20" s="44"/>
      <c r="J20" s="44"/>
      <c r="K20" s="44"/>
      <c r="L20" s="44"/>
      <c r="M20" s="44"/>
      <c r="N20" s="100"/>
    </row>
    <row r="21" spans="2:14" ht="18.75" customHeight="1">
      <c r="B21" s="143">
        <f t="shared" si="0"/>
        <v>48945</v>
      </c>
      <c r="C21" s="146">
        <f ca="1">C20+Liquiditätsvorschau!Y21</f>
        <v>-259.17311015549706</v>
      </c>
      <c r="D21" s="147">
        <f ca="1">IF(C21&lt;0,C21*Eingabe!$E$76,0)</f>
        <v>-25.891393704534156</v>
      </c>
      <c r="E21" s="44"/>
      <c r="F21" s="44"/>
      <c r="G21" s="44"/>
      <c r="H21" s="44"/>
      <c r="I21" s="44"/>
      <c r="J21" s="44"/>
      <c r="K21" s="44"/>
      <c r="L21" s="44"/>
      <c r="M21" s="44"/>
      <c r="N21" s="100"/>
    </row>
    <row r="22" spans="2:14" ht="18.75" customHeight="1">
      <c r="B22" s="143">
        <f t="shared" si="0"/>
        <v>49310</v>
      </c>
      <c r="C22" s="146">
        <f ca="1">C21+Liquiditätsvorschau!Y22</f>
        <v>364.52464196327344</v>
      </c>
      <c r="D22" s="147">
        <f ca="1">IF(C22&lt;0,C22*Eingabe!$E$76,0)</f>
        <v>0</v>
      </c>
      <c r="E22" s="44"/>
      <c r="F22" s="44"/>
      <c r="G22" s="44"/>
      <c r="H22" s="44"/>
      <c r="I22" s="44"/>
      <c r="J22" s="44"/>
      <c r="K22" s="44"/>
      <c r="L22" s="44"/>
      <c r="M22" s="44"/>
      <c r="N22" s="100"/>
    </row>
    <row r="23" spans="2:14" ht="18.75" customHeight="1">
      <c r="B23" s="143">
        <f t="shared" si="0"/>
        <v>49675</v>
      </c>
      <c r="C23" s="146">
        <f ca="1">C22+Liquiditätsvorschau!Y23</f>
        <v>985.08335748352602</v>
      </c>
      <c r="D23" s="147">
        <f ca="1">IF(C23&lt;0,C23*Eingabe!$E$76,0)</f>
        <v>0</v>
      </c>
      <c r="E23" s="44"/>
      <c r="F23" s="44"/>
      <c r="G23" s="44"/>
      <c r="H23" s="44"/>
      <c r="I23" s="44"/>
      <c r="J23" s="44"/>
      <c r="K23" s="44"/>
      <c r="L23" s="44"/>
      <c r="M23" s="44"/>
      <c r="N23" s="100"/>
    </row>
    <row r="24" spans="2:14" ht="18.75" customHeight="1">
      <c r="B24" s="143">
        <f t="shared" si="0"/>
        <v>50041</v>
      </c>
      <c r="C24" s="146">
        <f ca="1">C23+Liquiditätsvorschau!Y24</f>
        <v>1603.4496853150295</v>
      </c>
      <c r="D24" s="147">
        <f ca="1">IF(C24&lt;0,C24*Eingabe!$E$76,0)</f>
        <v>0</v>
      </c>
      <c r="E24" s="44"/>
      <c r="F24" s="44"/>
      <c r="G24" s="44"/>
      <c r="H24" s="44"/>
      <c r="I24" s="44"/>
      <c r="J24" s="44"/>
      <c r="K24" s="44"/>
      <c r="L24" s="44"/>
      <c r="M24" s="44"/>
      <c r="N24" s="100"/>
    </row>
    <row r="25" spans="2:14" ht="18.75" customHeight="1">
      <c r="B25" s="143">
        <f t="shared" si="0"/>
        <v>50406</v>
      </c>
      <c r="C25" s="146">
        <f ca="1">C24+Liquiditätsvorschau!Y25</f>
        <v>2218.5688818105773</v>
      </c>
      <c r="D25" s="147">
        <f ca="1">IF(C25&lt;0,C25*Eingabe!$E$76,0)</f>
        <v>0</v>
      </c>
      <c r="E25" s="44"/>
      <c r="F25" s="44"/>
      <c r="G25" s="44"/>
      <c r="H25" s="44"/>
      <c r="I25" s="44"/>
      <c r="J25" s="44"/>
      <c r="K25" s="44"/>
      <c r="L25" s="44"/>
      <c r="M25" s="44"/>
      <c r="N25" s="100"/>
    </row>
    <row r="26" spans="2:14" ht="18.75" customHeight="1">
      <c r="B26" s="143">
        <f t="shared" si="0"/>
        <v>50771</v>
      </c>
      <c r="C26" s="146">
        <f ca="1">C25+Liquiditätsvorschau!Y26</f>
        <v>2831.3847888828004</v>
      </c>
      <c r="D26" s="147">
        <f ca="1">IF(C26&lt;0,C26*Eingabe!$E$76,0)</f>
        <v>0</v>
      </c>
      <c r="E26" s="44"/>
      <c r="F26" s="44"/>
      <c r="G26" s="44"/>
      <c r="H26" s="44"/>
      <c r="I26" s="44"/>
      <c r="J26" s="44"/>
      <c r="K26" s="44"/>
      <c r="L26" s="44"/>
      <c r="M26" s="44"/>
      <c r="N26" s="100"/>
    </row>
    <row r="27" spans="2:14" ht="18.75" customHeight="1">
      <c r="B27" s="143">
        <f t="shared" si="0"/>
        <v>51136</v>
      </c>
      <c r="C27" s="146">
        <f ca="1">C26+Liquiditätsvorschau!Y27</f>
        <v>3440.8398117584384</v>
      </c>
      <c r="D27" s="147">
        <f ca="1">IF(C27&lt;0,C27*Eingabe!$E$76,0)</f>
        <v>0</v>
      </c>
      <c r="E27" s="44"/>
      <c r="F27" s="44"/>
      <c r="G27" s="44"/>
      <c r="H27" s="44"/>
      <c r="I27" s="44"/>
      <c r="J27" s="44"/>
      <c r="K27" s="44"/>
      <c r="L27" s="44"/>
      <c r="M27" s="44"/>
      <c r="N27" s="100"/>
    </row>
    <row r="28" spans="2:14" ht="18.75" customHeight="1">
      <c r="B28" s="143">
        <f t="shared" si="0"/>
        <v>51502</v>
      </c>
      <c r="C28" s="146">
        <f ca="1">C27+Liquiditätsvorschau!Y28</f>
        <v>4004.8748963644148</v>
      </c>
      <c r="D28" s="147">
        <f ca="1">IF(C28&lt;0,C28*Eingabe!$E$76,0)</f>
        <v>0</v>
      </c>
      <c r="E28" s="44"/>
      <c r="F28" s="44"/>
      <c r="G28" s="44"/>
      <c r="H28" s="44"/>
      <c r="I28" s="44"/>
      <c r="J28" s="44"/>
      <c r="K28" s="44"/>
      <c r="L28" s="44"/>
      <c r="M28" s="44"/>
      <c r="N28" s="100"/>
    </row>
    <row r="29" spans="2:14" ht="18.75" customHeight="1">
      <c r="B29" s="143">
        <f t="shared" si="0"/>
        <v>51867</v>
      </c>
      <c r="C29" s="146">
        <f ca="1">C28+Liquiditätsvorschau!Y29</f>
        <v>5018.7045194552175</v>
      </c>
      <c r="D29" s="147">
        <f ca="1">IF(C29&lt;0,C29*Eingabe!$E$76,0)</f>
        <v>0</v>
      </c>
      <c r="E29" s="44"/>
      <c r="F29" s="44"/>
      <c r="G29" s="44"/>
      <c r="H29" s="44"/>
      <c r="I29" s="44"/>
      <c r="J29" s="44"/>
      <c r="K29" s="44"/>
      <c r="L29" s="44"/>
      <c r="M29" s="44"/>
      <c r="N29" s="100"/>
    </row>
    <row r="30" spans="2:14" ht="18.75" customHeight="1">
      <c r="B30" s="143">
        <f t="shared" si="0"/>
        <v>52232</v>
      </c>
      <c r="C30" s="146">
        <f ca="1">C29+Liquiditätsvorschau!Y30</f>
        <v>6041.0869864171254</v>
      </c>
      <c r="D30" s="147">
        <f ca="1">IF(C30&lt;0,C30*Eingabe!$E$76,0)</f>
        <v>0</v>
      </c>
      <c r="E30" s="44"/>
      <c r="F30" s="44"/>
      <c r="G30" s="44"/>
      <c r="H30" s="44"/>
      <c r="I30" s="44"/>
      <c r="J30" s="44"/>
      <c r="K30" s="44"/>
      <c r="L30" s="44"/>
      <c r="M30" s="44"/>
      <c r="N30" s="100"/>
    </row>
    <row r="31" spans="2:14" ht="18.75" customHeight="1">
      <c r="B31" s="143">
        <f t="shared" si="0"/>
        <v>52597</v>
      </c>
      <c r="C31" s="146">
        <f ca="1">C30+Liquiditätsvorschau!Y31</f>
        <v>7071.0812446234886</v>
      </c>
      <c r="D31" s="147">
        <f ca="1">IF(C31&lt;0,C31*Eingabe!$E$76,0)</f>
        <v>0</v>
      </c>
      <c r="E31" s="44"/>
      <c r="F31" s="44"/>
      <c r="G31" s="44"/>
      <c r="H31" s="44"/>
      <c r="I31" s="44"/>
      <c r="J31" s="44"/>
      <c r="K31" s="44"/>
      <c r="L31" s="44"/>
      <c r="M31" s="44"/>
      <c r="N31" s="100"/>
    </row>
    <row r="32" spans="2:14" ht="18.75" customHeight="1">
      <c r="B32" s="143">
        <f t="shared" si="0"/>
        <v>52963</v>
      </c>
      <c r="C32" s="146">
        <f ca="1">C31+Liquiditätsvorschau!Y32</f>
        <v>8108.7461396563067</v>
      </c>
      <c r="D32" s="147">
        <f ca="1">IF(C32&lt;0,C32*Eingabe!$E$76,0)</f>
        <v>0</v>
      </c>
      <c r="E32" s="44"/>
      <c r="F32" s="44"/>
      <c r="G32" s="44"/>
      <c r="H32" s="44"/>
      <c r="I32" s="44"/>
      <c r="J32" s="44"/>
      <c r="K32" s="44"/>
      <c r="L32" s="44"/>
      <c r="M32" s="44"/>
      <c r="N32" s="100"/>
    </row>
    <row r="33" spans="2:14" ht="18.75" customHeight="1">
      <c r="B33" s="143">
        <f t="shared" si="0"/>
        <v>53328</v>
      </c>
      <c r="C33" s="146">
        <f ca="1">C32+Liquiditätsvorschau!Y33</f>
        <v>9155.1404039932877</v>
      </c>
      <c r="D33" s="147">
        <f ca="1">IF(C33&lt;0,C33*Eingabe!$E$76,0)</f>
        <v>0</v>
      </c>
      <c r="E33" s="44"/>
      <c r="F33" s="44"/>
      <c r="G33" s="44"/>
      <c r="H33" s="44"/>
      <c r="I33" s="44"/>
      <c r="J33" s="44"/>
      <c r="K33" s="44"/>
      <c r="L33" s="44"/>
      <c r="M33" s="44"/>
      <c r="N33" s="100"/>
    </row>
    <row r="34" spans="2:14" ht="18.75" customHeight="1">
      <c r="B34" s="143">
        <f t="shared" si="0"/>
        <v>53693</v>
      </c>
      <c r="C34" s="146">
        <f ca="1">C33+Liquiditätsvorschau!Y34</f>
        <v>10209.32264542809</v>
      </c>
      <c r="D34" s="147">
        <f ca="1">IF(C34&lt;0,C34*Eingabe!$E$76,0)</f>
        <v>0</v>
      </c>
      <c r="E34" s="44"/>
      <c r="F34" s="44"/>
      <c r="G34" s="44"/>
      <c r="H34" s="44"/>
      <c r="I34" s="44"/>
      <c r="J34" s="44"/>
      <c r="K34" s="44"/>
      <c r="L34" s="44"/>
      <c r="M34" s="44"/>
      <c r="N34" s="100"/>
    </row>
    <row r="35" spans="2:14" ht="18.75" customHeight="1">
      <c r="B35" s="143">
        <f t="shared" si="0"/>
        <v>54058</v>
      </c>
      <c r="C35" s="146">
        <f ca="1">C34+Liquiditätsvorschau!Y35</f>
        <v>11271.351335218775</v>
      </c>
      <c r="D35" s="147">
        <f ca="1">IF(C35&lt;0,C35*Eingabe!$E$76,0)</f>
        <v>0</v>
      </c>
      <c r="E35" s="44"/>
      <c r="F35" s="44"/>
      <c r="G35" s="44"/>
      <c r="H35" s="44"/>
      <c r="I35" s="44"/>
      <c r="J35" s="44"/>
      <c r="K35" s="44"/>
      <c r="L35" s="44"/>
      <c r="M35" s="44"/>
      <c r="N35" s="100"/>
    </row>
    <row r="36" spans="2:14" ht="18.75" customHeight="1">
      <c r="B36" s="143">
        <f t="shared" si="0"/>
        <v>54424</v>
      </c>
      <c r="C36" s="146">
        <f ca="1">C35+Liquiditätsvorschau!Y36</f>
        <v>12342.284795959416</v>
      </c>
      <c r="D36" s="147">
        <f ca="1">IF(C36&lt;0,C36*Eingabe!$E$76,0)</f>
        <v>0</v>
      </c>
      <c r="E36" s="44"/>
      <c r="F36" s="44"/>
      <c r="G36" s="44"/>
      <c r="H36" s="44"/>
      <c r="I36" s="44"/>
      <c r="J36" s="44"/>
      <c r="K36" s="44"/>
      <c r="L36" s="44"/>
      <c r="M36" s="44"/>
      <c r="N36" s="100"/>
    </row>
    <row r="37" spans="2:14" ht="18.75" customHeight="1">
      <c r="B37" s="143">
        <f t="shared" si="0"/>
        <v>54789</v>
      </c>
      <c r="C37" s="146">
        <f ca="1">C36+Liquiditätsvorschau!Y37</f>
        <v>13421.181189169751</v>
      </c>
      <c r="D37" s="147">
        <f ca="1">IF(C37&lt;0,C37*Eingabe!$E$76,0)</f>
        <v>0</v>
      </c>
      <c r="E37" s="44"/>
      <c r="F37" s="44"/>
      <c r="G37" s="44"/>
      <c r="H37" s="44"/>
      <c r="I37" s="44"/>
      <c r="J37" s="44"/>
      <c r="K37" s="44"/>
      <c r="L37" s="44"/>
      <c r="M37" s="44"/>
      <c r="N37" s="100"/>
    </row>
    <row r="38" spans="2:14" ht="18.75" customHeight="1">
      <c r="B38" s="143">
        <f t="shared" si="0"/>
        <v>55154</v>
      </c>
      <c r="C38" s="146">
        <f ca="1">C37+Liquiditätsvorschau!Y38</f>
        <v>14508.098502597619</v>
      </c>
      <c r="D38" s="147">
        <f ca="1">IF(C38&lt;0,C38*Eingabe!$E$76,0)</f>
        <v>0</v>
      </c>
      <c r="E38" s="44"/>
      <c r="F38" s="44"/>
      <c r="G38" s="44"/>
      <c r="H38" s="44"/>
      <c r="I38" s="44"/>
      <c r="J38" s="44"/>
      <c r="K38" s="44"/>
      <c r="L38" s="44"/>
      <c r="M38" s="44"/>
      <c r="N38" s="100"/>
    </row>
    <row r="39" spans="2:14" ht="18.75" customHeight="1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2:14" ht="18.75" customHeight="1">
      <c r="B40" s="148"/>
      <c r="C40" s="251" t="s">
        <v>141</v>
      </c>
      <c r="D40" s="251"/>
      <c r="E40" s="251"/>
      <c r="F40" s="252"/>
      <c r="G40" s="251" t="s">
        <v>142</v>
      </c>
      <c r="H40" s="251"/>
      <c r="I40" s="251"/>
      <c r="J40" s="252"/>
      <c r="K40" s="253" t="s">
        <v>148</v>
      </c>
      <c r="L40" s="254"/>
      <c r="M40" s="254"/>
      <c r="N40" s="255"/>
    </row>
    <row r="41" spans="2:14" ht="18.75" customHeight="1">
      <c r="B41" s="148"/>
      <c r="C41" s="44"/>
      <c r="D41" s="44"/>
      <c r="E41" s="44"/>
      <c r="F41" s="148"/>
      <c r="G41" s="44"/>
      <c r="H41" s="44"/>
      <c r="I41" s="44"/>
      <c r="J41" s="148"/>
      <c r="K41" s="159"/>
      <c r="L41" s="100"/>
      <c r="M41" s="100"/>
      <c r="N41" s="158"/>
    </row>
    <row r="42" spans="2:14" ht="32.25" customHeight="1">
      <c r="B42" s="141" t="s">
        <v>73</v>
      </c>
      <c r="C42" s="132" t="s">
        <v>145</v>
      </c>
      <c r="D42" s="132" t="s">
        <v>71</v>
      </c>
      <c r="E42" s="132" t="s">
        <v>146</v>
      </c>
      <c r="F42" s="135" t="s">
        <v>147</v>
      </c>
      <c r="G42" s="132" t="s">
        <v>145</v>
      </c>
      <c r="H42" s="132" t="s">
        <v>71</v>
      </c>
      <c r="I42" s="132" t="s">
        <v>146</v>
      </c>
      <c r="J42" s="135" t="s">
        <v>147</v>
      </c>
      <c r="K42" s="132" t="s">
        <v>145</v>
      </c>
      <c r="L42" s="132" t="s">
        <v>71</v>
      </c>
      <c r="M42" s="132" t="s">
        <v>146</v>
      </c>
      <c r="N42" s="154" t="s">
        <v>147</v>
      </c>
    </row>
    <row r="43" spans="2:14" ht="18.75" customHeight="1">
      <c r="B43" s="141"/>
      <c r="C43" s="132"/>
      <c r="D43" s="132"/>
      <c r="E43" s="132"/>
      <c r="F43" s="135"/>
      <c r="G43" s="132"/>
      <c r="H43" s="132"/>
      <c r="I43" s="132"/>
      <c r="J43" s="135"/>
      <c r="K43" s="132"/>
      <c r="L43" s="132"/>
      <c r="M43" s="132"/>
      <c r="N43" s="154"/>
    </row>
    <row r="44" spans="2:14" ht="18.75" customHeight="1">
      <c r="B44" s="143"/>
      <c r="C44" s="144"/>
      <c r="D44" s="144"/>
      <c r="E44" s="144"/>
      <c r="F44" s="149"/>
      <c r="G44" s="144"/>
      <c r="H44" s="144"/>
      <c r="I44" s="144"/>
      <c r="J44" s="149"/>
      <c r="K44" s="144"/>
      <c r="L44" s="144"/>
      <c r="M44" s="144"/>
      <c r="N44" s="155"/>
    </row>
    <row r="45" spans="2:14" ht="18.75" customHeight="1">
      <c r="B45" s="143">
        <f>DATE(YEAR(Eingabe!E12),1,1)</f>
        <v>44197</v>
      </c>
      <c r="C45" s="146">
        <f>'Darlehen 1'!G19</f>
        <v>3333</v>
      </c>
      <c r="D45" s="146">
        <f ca="1">'Darlehen 1'!I20</f>
        <v>53.187341057852429</v>
      </c>
      <c r="E45" s="146">
        <f ca="1">'Darlehen 1'!H20</f>
        <v>44.395714120684552</v>
      </c>
      <c r="F45" s="150">
        <f ca="1">'Darlehen 1'!G20</f>
        <v>3279.8126589421477</v>
      </c>
      <c r="G45" s="146">
        <f>'Darlehen 2'!G19</f>
        <v>3333</v>
      </c>
      <c r="H45" s="146">
        <f ca="1">'Darlehen 2'!I20</f>
        <v>58.473684210526308</v>
      </c>
      <c r="I45" s="146">
        <f ca="1">'Darlehen 2'!H20</f>
        <v>44.391271929824562</v>
      </c>
      <c r="J45" s="150">
        <f ca="1">'Darlehen 2'!G20</f>
        <v>3274.5263157894738</v>
      </c>
      <c r="K45" s="146">
        <f>'Darlehen 3'!G19</f>
        <v>3333</v>
      </c>
      <c r="L45" s="146">
        <f ca="1">'Darlehen 3'!I20</f>
        <v>0</v>
      </c>
      <c r="M45" s="146">
        <f ca="1">'Darlehen 3'!H20</f>
        <v>44.44</v>
      </c>
      <c r="N45" s="156">
        <f ca="1">'Darlehen 3'!G20</f>
        <v>3333</v>
      </c>
    </row>
    <row r="46" spans="2:14" ht="18.75" customHeight="1">
      <c r="B46" s="143">
        <f>EDATE(B45,12)</f>
        <v>44562</v>
      </c>
      <c r="C46" s="146">
        <f ca="1">'Darlehen 1'!G20</f>
        <v>3279.8126589421477</v>
      </c>
      <c r="D46" s="146">
        <f ca="1">'Darlehen 1'!I21</f>
        <v>322.87105052723734</v>
      </c>
      <c r="E46" s="146">
        <f ca="1">'Darlehen 1'!H21</f>
        <v>62.647280543984657</v>
      </c>
      <c r="F46" s="150">
        <f ca="1">'Darlehen 1'!G21</f>
        <v>2956.9416084149102</v>
      </c>
      <c r="G46" s="146">
        <f ca="1">'Darlehen 2'!G20</f>
        <v>3274.5263157894738</v>
      </c>
      <c r="H46" s="146">
        <f ca="1">'Darlehen 2'!I21</f>
        <v>350.84210526315792</v>
      </c>
      <c r="I46" s="146">
        <f ca="1">'Darlehen 2'!H21</f>
        <v>62.274473684210506</v>
      </c>
      <c r="J46" s="150">
        <f ca="1">'Darlehen 2'!G21</f>
        <v>2923.6842105263158</v>
      </c>
      <c r="K46" s="146">
        <f ca="1">'Darlehen 3'!G20</f>
        <v>3333</v>
      </c>
      <c r="L46" s="146">
        <f ca="1">'Darlehen 3'!I21</f>
        <v>0</v>
      </c>
      <c r="M46" s="146">
        <f ca="1">'Darlehen 3'!H21</f>
        <v>66.66</v>
      </c>
      <c r="N46" s="156">
        <f ca="1">'Darlehen 3'!G21</f>
        <v>3333</v>
      </c>
    </row>
    <row r="47" spans="2:14" ht="18.75" customHeight="1">
      <c r="B47" s="143">
        <f t="shared" ref="B47:B75" si="1">EDATE(B46,12)</f>
        <v>44927</v>
      </c>
      <c r="C47" s="146">
        <f ca="1">'Darlehen 1'!G21</f>
        <v>2956.9416084149102</v>
      </c>
      <c r="D47" s="146">
        <f ca="1">'Darlehen 1'!I22</f>
        <v>329.38799465033912</v>
      </c>
      <c r="E47" s="146">
        <f ca="1">'Darlehen 1'!H22</f>
        <v>56.130336420882891</v>
      </c>
      <c r="F47" s="150">
        <f ca="1">'Darlehen 1'!G22</f>
        <v>2627.5536137645713</v>
      </c>
      <c r="G47" s="146">
        <f ca="1">'Darlehen 2'!G21</f>
        <v>2923.6842105263158</v>
      </c>
      <c r="H47" s="146">
        <f ca="1">'Darlehen 2'!I22</f>
        <v>350.84210526315798</v>
      </c>
      <c r="I47" s="146">
        <f ca="1">'Darlehen 2'!H22</f>
        <v>55.25763157894729</v>
      </c>
      <c r="J47" s="150">
        <f ca="1">'Darlehen 2'!G22</f>
        <v>2572.8421052631579</v>
      </c>
      <c r="K47" s="146">
        <f ca="1">'Darlehen 3'!G21</f>
        <v>3333</v>
      </c>
      <c r="L47" s="146">
        <f ca="1">'Darlehen 3'!I22</f>
        <v>0</v>
      </c>
      <c r="M47" s="146">
        <f ca="1">'Darlehen 3'!H22</f>
        <v>66.66</v>
      </c>
      <c r="N47" s="156">
        <f ca="1">'Darlehen 3'!G22</f>
        <v>3333</v>
      </c>
    </row>
    <row r="48" spans="2:14" ht="18.75" customHeight="1">
      <c r="B48" s="143">
        <f t="shared" si="1"/>
        <v>45292</v>
      </c>
      <c r="C48" s="146">
        <f ca="1">'Darlehen 1'!G22</f>
        <v>2627.5536137645713</v>
      </c>
      <c r="D48" s="146">
        <f ca="1">'Darlehen 1'!I23</f>
        <v>336.03647909157803</v>
      </c>
      <c r="E48" s="146">
        <f ca="1">'Darlehen 1'!H23</f>
        <v>49.481851979644006</v>
      </c>
      <c r="F48" s="150">
        <f ca="1">'Darlehen 1'!G23</f>
        <v>2291.5171346729931</v>
      </c>
      <c r="G48" s="146">
        <f ca="1">'Darlehen 2'!G22</f>
        <v>2572.8421052631579</v>
      </c>
      <c r="H48" s="146">
        <f ca="1">'Darlehen 2'!I23</f>
        <v>350.8421052631578</v>
      </c>
      <c r="I48" s="146">
        <f ca="1">'Darlehen 2'!H23</f>
        <v>48.240789473684096</v>
      </c>
      <c r="J48" s="150">
        <f ca="1">'Darlehen 2'!G23</f>
        <v>2222</v>
      </c>
      <c r="K48" s="146">
        <f ca="1">'Darlehen 3'!G22</f>
        <v>3333</v>
      </c>
      <c r="L48" s="146">
        <f ca="1">'Darlehen 3'!I23</f>
        <v>0</v>
      </c>
      <c r="M48" s="146">
        <f ca="1">'Darlehen 3'!H23</f>
        <v>66.66</v>
      </c>
      <c r="N48" s="156">
        <f ca="1">'Darlehen 3'!G23</f>
        <v>3333</v>
      </c>
    </row>
    <row r="49" spans="2:14" ht="18.75" customHeight="1">
      <c r="B49" s="143">
        <f t="shared" si="1"/>
        <v>45658</v>
      </c>
      <c r="C49" s="146">
        <f ca="1">'Darlehen 1'!G23</f>
        <v>2291.5171346729931</v>
      </c>
      <c r="D49" s="146">
        <f ca="1">'Darlehen 1'!I24</f>
        <v>342.8191589075218</v>
      </c>
      <c r="E49" s="146">
        <f ca="1">'Darlehen 1'!H24</f>
        <v>42.699172163700212</v>
      </c>
      <c r="F49" s="150">
        <f ca="1">'Darlehen 1'!G24</f>
        <v>1948.6979757654713</v>
      </c>
      <c r="G49" s="146">
        <f ca="1">'Darlehen 2'!G23</f>
        <v>2222</v>
      </c>
      <c r="H49" s="146">
        <f ca="1">'Darlehen 2'!I24</f>
        <v>350.84210526315786</v>
      </c>
      <c r="I49" s="146">
        <f ca="1">'Darlehen 2'!H24</f>
        <v>41.223947368420895</v>
      </c>
      <c r="J49" s="150">
        <f ca="1">'Darlehen 2'!G24</f>
        <v>1871.1578947368421</v>
      </c>
      <c r="K49" s="146">
        <f ca="1">'Darlehen 3'!G23</f>
        <v>3333</v>
      </c>
      <c r="L49" s="146">
        <f ca="1">'Darlehen 3'!I24</f>
        <v>0</v>
      </c>
      <c r="M49" s="146">
        <f ca="1">'Darlehen 3'!H24</f>
        <v>66.66</v>
      </c>
      <c r="N49" s="156">
        <f ca="1">'Darlehen 3'!G24</f>
        <v>3333</v>
      </c>
    </row>
    <row r="50" spans="2:14" ht="18.75" customHeight="1">
      <c r="B50" s="143">
        <f t="shared" si="1"/>
        <v>46023</v>
      </c>
      <c r="C50" s="146">
        <f ca="1">'Darlehen 1'!G24</f>
        <v>1948.6979757654713</v>
      </c>
      <c r="D50" s="146">
        <f ca="1">'Darlehen 1'!I25</f>
        <v>349.73874274534433</v>
      </c>
      <c r="E50" s="146">
        <f ca="1">'Darlehen 1'!H25</f>
        <v>35.779588325877675</v>
      </c>
      <c r="F50" s="150">
        <f ca="1">'Darlehen 1'!G25</f>
        <v>1598.9592330201269</v>
      </c>
      <c r="G50" s="146">
        <f ca="1">'Darlehen 2'!G24</f>
        <v>1871.1578947368421</v>
      </c>
      <c r="H50" s="146">
        <f ca="1">'Darlehen 2'!I25</f>
        <v>350.84210526315786</v>
      </c>
      <c r="I50" s="146">
        <f ca="1">'Darlehen 2'!H25</f>
        <v>34.207105263157743</v>
      </c>
      <c r="J50" s="150">
        <f ca="1">'Darlehen 2'!G25</f>
        <v>1520.3157894736842</v>
      </c>
      <c r="K50" s="146">
        <f ca="1">'Darlehen 3'!G24</f>
        <v>3333</v>
      </c>
      <c r="L50" s="146">
        <f ca="1">'Darlehen 3'!I25</f>
        <v>0</v>
      </c>
      <c r="M50" s="146">
        <f ca="1">'Darlehen 3'!H25</f>
        <v>66.66</v>
      </c>
      <c r="N50" s="156">
        <f ca="1">'Darlehen 3'!G25</f>
        <v>3333</v>
      </c>
    </row>
    <row r="51" spans="2:14" ht="18.75" customHeight="1">
      <c r="B51" s="143">
        <f t="shared" si="1"/>
        <v>46388</v>
      </c>
      <c r="C51" s="146">
        <f ca="1">'Darlehen 1'!G25</f>
        <v>1598.9592330201269</v>
      </c>
      <c r="D51" s="146">
        <f ca="1">'Darlehen 1'!I26</f>
        <v>356.79799392451741</v>
      </c>
      <c r="E51" s="146">
        <f ca="1">'Darlehen 1'!H26</f>
        <v>28.720337146704566</v>
      </c>
      <c r="F51" s="150">
        <f ca="1">'Darlehen 1'!G26</f>
        <v>1242.1612390956095</v>
      </c>
      <c r="G51" s="146">
        <f ca="1">'Darlehen 2'!G25</f>
        <v>1520.3157894736842</v>
      </c>
      <c r="H51" s="146">
        <f ca="1">'Darlehen 2'!I26</f>
        <v>350.84210526315786</v>
      </c>
      <c r="I51" s="146">
        <f ca="1">'Darlehen 2'!H26</f>
        <v>27.190263157894591</v>
      </c>
      <c r="J51" s="150">
        <f ca="1">'Darlehen 2'!G26</f>
        <v>1169.4736842105262</v>
      </c>
      <c r="K51" s="146">
        <f ca="1">'Darlehen 3'!G25</f>
        <v>3333</v>
      </c>
      <c r="L51" s="146">
        <f ca="1">'Darlehen 3'!I26</f>
        <v>0</v>
      </c>
      <c r="M51" s="146">
        <f ca="1">'Darlehen 3'!H26</f>
        <v>66.66</v>
      </c>
      <c r="N51" s="156">
        <f ca="1">'Darlehen 3'!G26</f>
        <v>3333</v>
      </c>
    </row>
    <row r="52" spans="2:14" ht="18.75" customHeight="1">
      <c r="B52" s="143">
        <f t="shared" si="1"/>
        <v>46753</v>
      </c>
      <c r="C52" s="146">
        <f ca="1">'Darlehen 1'!G26</f>
        <v>1242.1612390956095</v>
      </c>
      <c r="D52" s="146">
        <f ca="1">'Darlehen 1'!I27</f>
        <v>363.99973154033603</v>
      </c>
      <c r="E52" s="146">
        <f ca="1">'Darlehen 1'!H27</f>
        <v>21.518599530885954</v>
      </c>
      <c r="F52" s="150">
        <f ca="1">'Darlehen 1'!G27</f>
        <v>878.16150755527349</v>
      </c>
      <c r="G52" s="146">
        <f ca="1">'Darlehen 2'!G26</f>
        <v>1169.4736842105262</v>
      </c>
      <c r="H52" s="146">
        <f ca="1">'Darlehen 2'!I27</f>
        <v>350.84210526315786</v>
      </c>
      <c r="I52" s="146">
        <f ca="1">'Darlehen 2'!H27</f>
        <v>20.173421052631443</v>
      </c>
      <c r="J52" s="150">
        <f ca="1">'Darlehen 2'!G27</f>
        <v>818.63157894736833</v>
      </c>
      <c r="K52" s="146">
        <f ca="1">'Darlehen 3'!G26</f>
        <v>3333</v>
      </c>
      <c r="L52" s="146">
        <f ca="1">'Darlehen 3'!I27</f>
        <v>0</v>
      </c>
      <c r="M52" s="146">
        <f ca="1">'Darlehen 3'!H27</f>
        <v>66.66</v>
      </c>
      <c r="N52" s="156">
        <f ca="1">'Darlehen 3'!G27</f>
        <v>3333</v>
      </c>
    </row>
    <row r="53" spans="2:14" ht="18.75" customHeight="1">
      <c r="B53" s="143">
        <f t="shared" si="1"/>
        <v>47119</v>
      </c>
      <c r="C53" s="146">
        <f ca="1">'Darlehen 1'!G27</f>
        <v>878.16150755527349</v>
      </c>
      <c r="D53" s="146">
        <f ca="1">'Darlehen 1'!I28</f>
        <v>371.34683158971717</v>
      </c>
      <c r="E53" s="146">
        <f ca="1">'Darlehen 1'!H28</f>
        <v>14.171499481504824</v>
      </c>
      <c r="F53" s="150">
        <f ca="1">'Darlehen 1'!G28</f>
        <v>506.81467596555632</v>
      </c>
      <c r="G53" s="146">
        <f ca="1">'Darlehen 2'!G27</f>
        <v>818.63157894736833</v>
      </c>
      <c r="H53" s="146">
        <f ca="1">'Darlehen 2'!I28</f>
        <v>350.84210526315786</v>
      </c>
      <c r="I53" s="146">
        <f ca="1">'Darlehen 2'!H28</f>
        <v>13.156578947368294</v>
      </c>
      <c r="J53" s="150">
        <f ca="1">'Darlehen 2'!G28</f>
        <v>467.78947368421046</v>
      </c>
      <c r="K53" s="146">
        <f ca="1">'Darlehen 3'!G27</f>
        <v>3333</v>
      </c>
      <c r="L53" s="146">
        <f ca="1">'Darlehen 3'!I28</f>
        <v>0</v>
      </c>
      <c r="M53" s="146">
        <f ca="1">'Darlehen 3'!H28</f>
        <v>66.66</v>
      </c>
      <c r="N53" s="156">
        <f ca="1">'Darlehen 3'!G28</f>
        <v>3333</v>
      </c>
    </row>
    <row r="54" spans="2:14" ht="18.75" customHeight="1">
      <c r="B54" s="143">
        <f t="shared" si="1"/>
        <v>47484</v>
      </c>
      <c r="C54" s="146">
        <f ca="1">'Darlehen 1'!G28</f>
        <v>506.81467596555632</v>
      </c>
      <c r="D54" s="146">
        <f ca="1">'Darlehen 1'!I29</f>
        <v>378.84222811972262</v>
      </c>
      <c r="E54" s="146">
        <f ca="1">'Darlehen 1'!H29</f>
        <v>6.6761029514994057</v>
      </c>
      <c r="F54" s="150">
        <f ca="1">'Darlehen 1'!G29</f>
        <v>127.9724478458337</v>
      </c>
      <c r="G54" s="146">
        <f ca="1">'Darlehen 2'!G28</f>
        <v>467.78947368421046</v>
      </c>
      <c r="H54" s="146">
        <f ca="1">'Darlehen 2'!I29</f>
        <v>350.8421052631578</v>
      </c>
      <c r="I54" s="146">
        <f ca="1">'Darlehen 2'!H29</f>
        <v>6.1397368421051342</v>
      </c>
      <c r="J54" s="150">
        <f ca="1">'Darlehen 2'!G29</f>
        <v>116.94736842105266</v>
      </c>
      <c r="K54" s="146">
        <f ca="1">'Darlehen 3'!G28</f>
        <v>3333</v>
      </c>
      <c r="L54" s="146">
        <f ca="1">'Darlehen 3'!I29</f>
        <v>0</v>
      </c>
      <c r="M54" s="146">
        <f ca="1">'Darlehen 3'!H29</f>
        <v>66.66</v>
      </c>
      <c r="N54" s="156">
        <f ca="1">'Darlehen 3'!G29</f>
        <v>3333</v>
      </c>
    </row>
    <row r="55" spans="2:14" ht="18.75" customHeight="1">
      <c r="B55" s="143">
        <f t="shared" si="1"/>
        <v>47849</v>
      </c>
      <c r="C55" s="146">
        <f ca="1">'Darlehen 1'!G29</f>
        <v>127.9724478458337</v>
      </c>
      <c r="D55" s="146">
        <f ca="1">'Darlehen 1'!I30</f>
        <v>127.97244784583432</v>
      </c>
      <c r="E55" s="146">
        <f ca="1">'Darlehen 1'!H30</f>
        <v>0.53366251123964292</v>
      </c>
      <c r="F55" s="150">
        <f ca="1">'Darlehen 1'!G30</f>
        <v>-6.2527760746888816E-13</v>
      </c>
      <c r="G55" s="146">
        <f ca="1">'Darlehen 2'!G29</f>
        <v>116.94736842105266</v>
      </c>
      <c r="H55" s="146">
        <f ca="1">'Darlehen 2'!I30</f>
        <v>116.94736842105263</v>
      </c>
      <c r="I55" s="146">
        <f ca="1">'Darlehen 2'!H30</f>
        <v>0.48728070175434285</v>
      </c>
      <c r="J55" s="150">
        <f ca="1">'Darlehen 2'!G30</f>
        <v>2.8421709430404007E-14</v>
      </c>
      <c r="K55" s="146">
        <f ca="1">'Darlehen 3'!G29</f>
        <v>3333</v>
      </c>
      <c r="L55" s="146">
        <f ca="1">'Darlehen 3'!I30</f>
        <v>3333</v>
      </c>
      <c r="M55" s="146">
        <f ca="1">'Darlehen 3'!H30</f>
        <v>22.22</v>
      </c>
      <c r="N55" s="156">
        <f ca="1">'Darlehen 3'!G30</f>
        <v>0</v>
      </c>
    </row>
    <row r="56" spans="2:14" ht="18.75" customHeight="1">
      <c r="B56" s="143">
        <f t="shared" si="1"/>
        <v>48214</v>
      </c>
      <c r="C56" s="146">
        <f ca="1">'Darlehen 1'!G30</f>
        <v>-6.2527760746888816E-13</v>
      </c>
      <c r="D56" s="146">
        <f ca="1">'Darlehen 1'!I31</f>
        <v>0</v>
      </c>
      <c r="E56" s="146">
        <f ca="1">'Darlehen 1'!H31</f>
        <v>0</v>
      </c>
      <c r="F56" s="150">
        <f ca="1">'Darlehen 1'!G31</f>
        <v>-6.2527760746888816E-13</v>
      </c>
      <c r="G56" s="146">
        <f ca="1">'Darlehen 2'!G30</f>
        <v>2.8421709430404007E-14</v>
      </c>
      <c r="H56" s="146">
        <f ca="1">'Darlehen 2'!I31</f>
        <v>0</v>
      </c>
      <c r="I56" s="146">
        <f ca="1">'Darlehen 2'!H31</f>
        <v>0</v>
      </c>
      <c r="J56" s="150">
        <f ca="1">'Darlehen 2'!G31</f>
        <v>2.8421709430404007E-14</v>
      </c>
      <c r="K56" s="146">
        <f ca="1">'Darlehen 3'!G30</f>
        <v>0</v>
      </c>
      <c r="L56" s="146">
        <f ca="1">'Darlehen 3'!I31</f>
        <v>0</v>
      </c>
      <c r="M56" s="146">
        <f ca="1">'Darlehen 3'!H31</f>
        <v>0</v>
      </c>
      <c r="N56" s="156">
        <f ca="1">'Darlehen 3'!G31</f>
        <v>0</v>
      </c>
    </row>
    <row r="57" spans="2:14" ht="18.75" customHeight="1">
      <c r="B57" s="143">
        <f t="shared" si="1"/>
        <v>48580</v>
      </c>
      <c r="C57" s="146">
        <f ca="1">'Darlehen 1'!G31</f>
        <v>-6.2527760746888816E-13</v>
      </c>
      <c r="D57" s="146">
        <f ca="1">'Darlehen 1'!I32</f>
        <v>0</v>
      </c>
      <c r="E57" s="146">
        <f ca="1">'Darlehen 1'!H32</f>
        <v>0</v>
      </c>
      <c r="F57" s="150">
        <f ca="1">'Darlehen 1'!G32</f>
        <v>-6.2527760746888816E-13</v>
      </c>
      <c r="G57" s="146">
        <f ca="1">'Darlehen 2'!G31</f>
        <v>2.8421709430404007E-14</v>
      </c>
      <c r="H57" s="146">
        <f ca="1">'Darlehen 2'!I32</f>
        <v>0</v>
      </c>
      <c r="I57" s="146">
        <f ca="1">'Darlehen 2'!H32</f>
        <v>0</v>
      </c>
      <c r="J57" s="150">
        <f ca="1">'Darlehen 2'!G32</f>
        <v>2.8421709430404007E-14</v>
      </c>
      <c r="K57" s="146">
        <f ca="1">'Darlehen 3'!G31</f>
        <v>0</v>
      </c>
      <c r="L57" s="146">
        <f ca="1">'Darlehen 3'!I32</f>
        <v>0</v>
      </c>
      <c r="M57" s="146">
        <f ca="1">'Darlehen 3'!H32</f>
        <v>0</v>
      </c>
      <c r="N57" s="156">
        <f ca="1">'Darlehen 3'!G32</f>
        <v>0</v>
      </c>
    </row>
    <row r="58" spans="2:14" ht="18.75" customHeight="1">
      <c r="B58" s="143">
        <f t="shared" si="1"/>
        <v>48945</v>
      </c>
      <c r="C58" s="146">
        <f ca="1">'Darlehen 1'!G32</f>
        <v>-6.2527760746888816E-13</v>
      </c>
      <c r="D58" s="146">
        <f ca="1">'Darlehen 1'!I33</f>
        <v>0</v>
      </c>
      <c r="E58" s="146">
        <f ca="1">'Darlehen 1'!H33</f>
        <v>0</v>
      </c>
      <c r="F58" s="150">
        <f ca="1">'Darlehen 1'!G33</f>
        <v>-6.2527760746888816E-13</v>
      </c>
      <c r="G58" s="146">
        <f ca="1">'Darlehen 2'!G32</f>
        <v>2.8421709430404007E-14</v>
      </c>
      <c r="H58" s="146">
        <f ca="1">'Darlehen 2'!I33</f>
        <v>0</v>
      </c>
      <c r="I58" s="146">
        <f ca="1">'Darlehen 2'!H33</f>
        <v>0</v>
      </c>
      <c r="J58" s="150">
        <f ca="1">'Darlehen 2'!G33</f>
        <v>2.8421709430404007E-14</v>
      </c>
      <c r="K58" s="146">
        <f ca="1">'Darlehen 3'!G32</f>
        <v>0</v>
      </c>
      <c r="L58" s="146">
        <f ca="1">'Darlehen 3'!I33</f>
        <v>0</v>
      </c>
      <c r="M58" s="146">
        <f ca="1">'Darlehen 3'!H33</f>
        <v>0</v>
      </c>
      <c r="N58" s="156">
        <f ca="1">'Darlehen 3'!G33</f>
        <v>0</v>
      </c>
    </row>
    <row r="59" spans="2:14" ht="18.75" customHeight="1">
      <c r="B59" s="143">
        <f t="shared" si="1"/>
        <v>49310</v>
      </c>
      <c r="C59" s="146">
        <f ca="1">'Darlehen 1'!G33</f>
        <v>-6.2527760746888816E-13</v>
      </c>
      <c r="D59" s="146">
        <f ca="1">'Darlehen 1'!I34</f>
        <v>0</v>
      </c>
      <c r="E59" s="146">
        <f ca="1">'Darlehen 1'!H34</f>
        <v>0</v>
      </c>
      <c r="F59" s="150">
        <f ca="1">'Darlehen 1'!G34</f>
        <v>-6.2527760746888816E-13</v>
      </c>
      <c r="G59" s="146">
        <f ca="1">'Darlehen 2'!G33</f>
        <v>2.8421709430404007E-14</v>
      </c>
      <c r="H59" s="146">
        <f ca="1">'Darlehen 2'!I34</f>
        <v>0</v>
      </c>
      <c r="I59" s="146">
        <f ca="1">'Darlehen 2'!H34</f>
        <v>0</v>
      </c>
      <c r="J59" s="150">
        <f ca="1">'Darlehen 2'!G34</f>
        <v>2.8421709430404007E-14</v>
      </c>
      <c r="K59" s="146">
        <f ca="1">'Darlehen 3'!G33</f>
        <v>0</v>
      </c>
      <c r="L59" s="146">
        <f ca="1">'Darlehen 3'!I34</f>
        <v>0</v>
      </c>
      <c r="M59" s="146">
        <f ca="1">'Darlehen 3'!H34</f>
        <v>0</v>
      </c>
      <c r="N59" s="156">
        <f ca="1">'Darlehen 3'!G34</f>
        <v>0</v>
      </c>
    </row>
    <row r="60" spans="2:14" ht="18.75" customHeight="1">
      <c r="B60" s="143">
        <f t="shared" si="1"/>
        <v>49675</v>
      </c>
      <c r="C60" s="146">
        <f ca="1">'Darlehen 1'!G34</f>
        <v>-6.2527760746888816E-13</v>
      </c>
      <c r="D60" s="146">
        <f ca="1">'Darlehen 1'!I35</f>
        <v>0</v>
      </c>
      <c r="E60" s="146">
        <f ca="1">'Darlehen 1'!H35</f>
        <v>0</v>
      </c>
      <c r="F60" s="150">
        <f ca="1">'Darlehen 1'!G35</f>
        <v>-6.2527760746888816E-13</v>
      </c>
      <c r="G60" s="146">
        <f ca="1">'Darlehen 2'!G34</f>
        <v>2.8421709430404007E-14</v>
      </c>
      <c r="H60" s="146">
        <f ca="1">'Darlehen 2'!I35</f>
        <v>0</v>
      </c>
      <c r="I60" s="146">
        <f ca="1">'Darlehen 2'!H35</f>
        <v>0</v>
      </c>
      <c r="J60" s="150">
        <f ca="1">'Darlehen 2'!G35</f>
        <v>2.8421709430404007E-14</v>
      </c>
      <c r="K60" s="146">
        <f ca="1">'Darlehen 3'!G34</f>
        <v>0</v>
      </c>
      <c r="L60" s="146">
        <f ca="1">'Darlehen 3'!I35</f>
        <v>0</v>
      </c>
      <c r="M60" s="146">
        <f ca="1">'Darlehen 3'!H35</f>
        <v>0</v>
      </c>
      <c r="N60" s="156">
        <f ca="1">'Darlehen 3'!G35</f>
        <v>0</v>
      </c>
    </row>
    <row r="61" spans="2:14" ht="18.75" customHeight="1">
      <c r="B61" s="143">
        <f t="shared" si="1"/>
        <v>50041</v>
      </c>
      <c r="C61" s="146">
        <f ca="1">'Darlehen 1'!G35</f>
        <v>-6.2527760746888816E-13</v>
      </c>
      <c r="D61" s="146">
        <f ca="1">'Darlehen 1'!I36</f>
        <v>0</v>
      </c>
      <c r="E61" s="146">
        <f ca="1">'Darlehen 1'!H36</f>
        <v>0</v>
      </c>
      <c r="F61" s="150">
        <f ca="1">'Darlehen 1'!G36</f>
        <v>-6.2527760746888816E-13</v>
      </c>
      <c r="G61" s="146">
        <f ca="1">'Darlehen 2'!G35</f>
        <v>2.8421709430404007E-14</v>
      </c>
      <c r="H61" s="146">
        <f ca="1">'Darlehen 2'!I36</f>
        <v>0</v>
      </c>
      <c r="I61" s="146">
        <f ca="1">'Darlehen 2'!H36</f>
        <v>0</v>
      </c>
      <c r="J61" s="150">
        <f ca="1">'Darlehen 2'!G36</f>
        <v>2.8421709430404007E-14</v>
      </c>
      <c r="K61" s="146">
        <f ca="1">'Darlehen 3'!G35</f>
        <v>0</v>
      </c>
      <c r="L61" s="146">
        <f ca="1">'Darlehen 3'!I36</f>
        <v>0</v>
      </c>
      <c r="M61" s="146">
        <f ca="1">'Darlehen 3'!H36</f>
        <v>0</v>
      </c>
      <c r="N61" s="156">
        <f ca="1">'Darlehen 3'!G36</f>
        <v>0</v>
      </c>
    </row>
    <row r="62" spans="2:14" ht="18.75" customHeight="1">
      <c r="B62" s="143">
        <f t="shared" si="1"/>
        <v>50406</v>
      </c>
      <c r="C62" s="146">
        <f ca="1">'Darlehen 1'!G36</f>
        <v>-6.2527760746888816E-13</v>
      </c>
      <c r="D62" s="146">
        <f ca="1">'Darlehen 1'!I37</f>
        <v>0</v>
      </c>
      <c r="E62" s="146">
        <f ca="1">'Darlehen 1'!H37</f>
        <v>0</v>
      </c>
      <c r="F62" s="150">
        <f ca="1">'Darlehen 1'!G37</f>
        <v>-6.2527760746888816E-13</v>
      </c>
      <c r="G62" s="146">
        <f ca="1">'Darlehen 2'!G36</f>
        <v>2.8421709430404007E-14</v>
      </c>
      <c r="H62" s="146">
        <f ca="1">'Darlehen 2'!I37</f>
        <v>0</v>
      </c>
      <c r="I62" s="146">
        <f ca="1">'Darlehen 2'!H37</f>
        <v>0</v>
      </c>
      <c r="J62" s="150">
        <f ca="1">'Darlehen 2'!G37</f>
        <v>2.8421709430404007E-14</v>
      </c>
      <c r="K62" s="146">
        <f ca="1">'Darlehen 3'!G36</f>
        <v>0</v>
      </c>
      <c r="L62" s="146">
        <f ca="1">'Darlehen 3'!I37</f>
        <v>0</v>
      </c>
      <c r="M62" s="146">
        <f ca="1">'Darlehen 3'!H37</f>
        <v>0</v>
      </c>
      <c r="N62" s="156">
        <f ca="1">'Darlehen 3'!G37</f>
        <v>0</v>
      </c>
    </row>
    <row r="63" spans="2:14" ht="18.75" customHeight="1">
      <c r="B63" s="143">
        <f t="shared" si="1"/>
        <v>50771</v>
      </c>
      <c r="C63" s="146">
        <f ca="1">'Darlehen 1'!G37</f>
        <v>-6.2527760746888816E-13</v>
      </c>
      <c r="D63" s="146">
        <f ca="1">'Darlehen 1'!I38</f>
        <v>0</v>
      </c>
      <c r="E63" s="146">
        <f ca="1">'Darlehen 1'!H38</f>
        <v>0</v>
      </c>
      <c r="F63" s="150">
        <f ca="1">'Darlehen 1'!G38</f>
        <v>-6.2527760746888816E-13</v>
      </c>
      <c r="G63" s="146">
        <f ca="1">'Darlehen 2'!G37</f>
        <v>2.8421709430404007E-14</v>
      </c>
      <c r="H63" s="146">
        <f ca="1">'Darlehen 2'!I38</f>
        <v>0</v>
      </c>
      <c r="I63" s="146">
        <f ca="1">'Darlehen 2'!H38</f>
        <v>0</v>
      </c>
      <c r="J63" s="150">
        <f ca="1">'Darlehen 2'!G38</f>
        <v>2.8421709430404007E-14</v>
      </c>
      <c r="K63" s="146">
        <f ca="1">'Darlehen 3'!G37</f>
        <v>0</v>
      </c>
      <c r="L63" s="146">
        <f ca="1">'Darlehen 3'!I38</f>
        <v>0</v>
      </c>
      <c r="M63" s="146">
        <f ca="1">'Darlehen 3'!H38</f>
        <v>0</v>
      </c>
      <c r="N63" s="156">
        <f ca="1">'Darlehen 3'!G38</f>
        <v>0</v>
      </c>
    </row>
    <row r="64" spans="2:14" ht="18.75" customHeight="1">
      <c r="B64" s="143">
        <f t="shared" si="1"/>
        <v>51136</v>
      </c>
      <c r="C64" s="146">
        <f ca="1">'Darlehen 1'!G38</f>
        <v>-6.2527760746888816E-13</v>
      </c>
      <c r="D64" s="146">
        <f ca="1">'Darlehen 1'!I39</f>
        <v>0</v>
      </c>
      <c r="E64" s="146">
        <f ca="1">'Darlehen 1'!H39</f>
        <v>0</v>
      </c>
      <c r="F64" s="150">
        <f ca="1">'Darlehen 1'!G39</f>
        <v>-6.2527760746888816E-13</v>
      </c>
      <c r="G64" s="146">
        <f ca="1">'Darlehen 2'!G38</f>
        <v>2.8421709430404007E-14</v>
      </c>
      <c r="H64" s="146">
        <f ca="1">'Darlehen 2'!I39</f>
        <v>0</v>
      </c>
      <c r="I64" s="146">
        <f ca="1">'Darlehen 2'!H39</f>
        <v>0</v>
      </c>
      <c r="J64" s="150">
        <f ca="1">'Darlehen 2'!G39</f>
        <v>2.8421709430404007E-14</v>
      </c>
      <c r="K64" s="146">
        <f ca="1">'Darlehen 3'!G38</f>
        <v>0</v>
      </c>
      <c r="L64" s="146">
        <f ca="1">'Darlehen 3'!I39</f>
        <v>0</v>
      </c>
      <c r="M64" s="146">
        <f ca="1">'Darlehen 3'!H39</f>
        <v>0</v>
      </c>
      <c r="N64" s="156">
        <f ca="1">'Darlehen 3'!G39</f>
        <v>0</v>
      </c>
    </row>
    <row r="65" spans="1:16" ht="18.75" customHeight="1">
      <c r="B65" s="143">
        <f t="shared" si="1"/>
        <v>51502</v>
      </c>
      <c r="C65" s="146">
        <f ca="1">'Darlehen 1'!G39</f>
        <v>-6.2527760746888816E-13</v>
      </c>
      <c r="D65" s="146">
        <f ca="1">'Darlehen 1'!I40</f>
        <v>0</v>
      </c>
      <c r="E65" s="146">
        <f ca="1">'Darlehen 1'!H40</f>
        <v>0</v>
      </c>
      <c r="F65" s="150">
        <f ca="1">'Darlehen 1'!G40</f>
        <v>-6.2527760746888816E-13</v>
      </c>
      <c r="G65" s="146">
        <f ca="1">'Darlehen 2'!G39</f>
        <v>2.8421709430404007E-14</v>
      </c>
      <c r="H65" s="146">
        <f ca="1">'Darlehen 2'!I40</f>
        <v>0</v>
      </c>
      <c r="I65" s="146">
        <f ca="1">'Darlehen 2'!H40</f>
        <v>0</v>
      </c>
      <c r="J65" s="150">
        <f ca="1">'Darlehen 2'!G40</f>
        <v>2.8421709430404007E-14</v>
      </c>
      <c r="K65" s="146">
        <f ca="1">'Darlehen 3'!G39</f>
        <v>0</v>
      </c>
      <c r="L65" s="146">
        <f ca="1">'Darlehen 3'!I40</f>
        <v>0</v>
      </c>
      <c r="M65" s="146">
        <f ca="1">'Darlehen 3'!H40</f>
        <v>0</v>
      </c>
      <c r="N65" s="156">
        <f ca="1">'Darlehen 3'!G40</f>
        <v>0</v>
      </c>
    </row>
    <row r="66" spans="1:16" ht="18.75" customHeight="1">
      <c r="B66" s="143">
        <f t="shared" si="1"/>
        <v>51867</v>
      </c>
      <c r="C66" s="146">
        <f ca="1">'Darlehen 1'!G40</f>
        <v>-6.2527760746888816E-13</v>
      </c>
      <c r="D66" s="146">
        <f ca="1">'Darlehen 1'!I41</f>
        <v>0</v>
      </c>
      <c r="E66" s="146">
        <f ca="1">'Darlehen 1'!H41</f>
        <v>0</v>
      </c>
      <c r="F66" s="150">
        <f ca="1">'Darlehen 1'!G41</f>
        <v>-6.2527760746888816E-13</v>
      </c>
      <c r="G66" s="146">
        <f ca="1">'Darlehen 2'!G40</f>
        <v>2.8421709430404007E-14</v>
      </c>
      <c r="H66" s="146">
        <f ca="1">'Darlehen 2'!I41</f>
        <v>0</v>
      </c>
      <c r="I66" s="146">
        <f ca="1">'Darlehen 2'!H41</f>
        <v>0</v>
      </c>
      <c r="J66" s="150">
        <f ca="1">'Darlehen 2'!G41</f>
        <v>2.8421709430404007E-14</v>
      </c>
      <c r="K66" s="146">
        <f ca="1">'Darlehen 3'!G40</f>
        <v>0</v>
      </c>
      <c r="L66" s="146">
        <f ca="1">'Darlehen 3'!I41</f>
        <v>0</v>
      </c>
      <c r="M66" s="146">
        <f ca="1">'Darlehen 3'!H41</f>
        <v>0</v>
      </c>
      <c r="N66" s="156">
        <f ca="1">'Darlehen 3'!G41</f>
        <v>0</v>
      </c>
    </row>
    <row r="67" spans="1:16" ht="18.75" customHeight="1">
      <c r="B67" s="143">
        <f t="shared" si="1"/>
        <v>52232</v>
      </c>
      <c r="C67" s="146">
        <f ca="1">'Darlehen 1'!G41</f>
        <v>-6.2527760746888816E-13</v>
      </c>
      <c r="D67" s="146">
        <f ca="1">'Darlehen 1'!I42</f>
        <v>0</v>
      </c>
      <c r="E67" s="146">
        <f ca="1">'Darlehen 1'!H42</f>
        <v>0</v>
      </c>
      <c r="F67" s="150">
        <f ca="1">'Darlehen 1'!G42</f>
        <v>-6.2527760746888816E-13</v>
      </c>
      <c r="G67" s="146">
        <f ca="1">'Darlehen 2'!G41</f>
        <v>2.8421709430404007E-14</v>
      </c>
      <c r="H67" s="146">
        <f ca="1">'Darlehen 2'!I42</f>
        <v>0</v>
      </c>
      <c r="I67" s="146">
        <f ca="1">'Darlehen 2'!H42</f>
        <v>0</v>
      </c>
      <c r="J67" s="150">
        <f ca="1">'Darlehen 2'!G42</f>
        <v>2.8421709430404007E-14</v>
      </c>
      <c r="K67" s="146">
        <f ca="1">'Darlehen 3'!G41</f>
        <v>0</v>
      </c>
      <c r="L67" s="146">
        <f ca="1">'Darlehen 3'!I42</f>
        <v>0</v>
      </c>
      <c r="M67" s="146">
        <f ca="1">'Darlehen 3'!H42</f>
        <v>0</v>
      </c>
      <c r="N67" s="156">
        <f ca="1">'Darlehen 3'!G42</f>
        <v>0</v>
      </c>
    </row>
    <row r="68" spans="1:16" ht="18.75" customHeight="1">
      <c r="B68" s="143">
        <f t="shared" si="1"/>
        <v>52597</v>
      </c>
      <c r="C68" s="146">
        <f ca="1">'Darlehen 1'!G42</f>
        <v>-6.2527760746888816E-13</v>
      </c>
      <c r="D68" s="146">
        <f ca="1">'Darlehen 1'!I43</f>
        <v>0</v>
      </c>
      <c r="E68" s="146">
        <f ca="1">'Darlehen 1'!H43</f>
        <v>0</v>
      </c>
      <c r="F68" s="150">
        <f ca="1">'Darlehen 1'!G43</f>
        <v>-6.2527760746888816E-13</v>
      </c>
      <c r="G68" s="146">
        <f ca="1">'Darlehen 2'!G42</f>
        <v>2.8421709430404007E-14</v>
      </c>
      <c r="H68" s="146">
        <f ca="1">'Darlehen 2'!I43</f>
        <v>0</v>
      </c>
      <c r="I68" s="146">
        <f ca="1">'Darlehen 2'!H43</f>
        <v>0</v>
      </c>
      <c r="J68" s="150">
        <f ca="1">'Darlehen 2'!G43</f>
        <v>2.8421709430404007E-14</v>
      </c>
      <c r="K68" s="146">
        <f ca="1">'Darlehen 3'!G42</f>
        <v>0</v>
      </c>
      <c r="L68" s="146">
        <f ca="1">'Darlehen 3'!I43</f>
        <v>0</v>
      </c>
      <c r="M68" s="146">
        <f ca="1">'Darlehen 3'!H43</f>
        <v>0</v>
      </c>
      <c r="N68" s="156">
        <f ca="1">'Darlehen 3'!G43</f>
        <v>0</v>
      </c>
    </row>
    <row r="69" spans="1:16" ht="18.75" customHeight="1">
      <c r="B69" s="143">
        <f t="shared" si="1"/>
        <v>52963</v>
      </c>
      <c r="C69" s="146">
        <f ca="1">'Darlehen 1'!G43</f>
        <v>-6.2527760746888816E-13</v>
      </c>
      <c r="D69" s="146">
        <f ca="1">'Darlehen 1'!I44</f>
        <v>0</v>
      </c>
      <c r="E69" s="146">
        <f ca="1">'Darlehen 1'!H44</f>
        <v>0</v>
      </c>
      <c r="F69" s="150">
        <f ca="1">'Darlehen 1'!G44</f>
        <v>-6.2527760746888816E-13</v>
      </c>
      <c r="G69" s="146">
        <f ca="1">'Darlehen 2'!G43</f>
        <v>2.8421709430404007E-14</v>
      </c>
      <c r="H69" s="146">
        <f ca="1">'Darlehen 2'!I44</f>
        <v>0</v>
      </c>
      <c r="I69" s="146">
        <f ca="1">'Darlehen 2'!H44</f>
        <v>0</v>
      </c>
      <c r="J69" s="150">
        <f ca="1">'Darlehen 2'!G44</f>
        <v>2.8421709430404007E-14</v>
      </c>
      <c r="K69" s="146">
        <f ca="1">'Darlehen 3'!G43</f>
        <v>0</v>
      </c>
      <c r="L69" s="146">
        <f ca="1">'Darlehen 3'!I44</f>
        <v>0</v>
      </c>
      <c r="M69" s="146">
        <f ca="1">'Darlehen 3'!H44</f>
        <v>0</v>
      </c>
      <c r="N69" s="156">
        <f ca="1">'Darlehen 3'!G44</f>
        <v>0</v>
      </c>
    </row>
    <row r="70" spans="1:16" ht="18.75" customHeight="1">
      <c r="B70" s="143">
        <f t="shared" si="1"/>
        <v>53328</v>
      </c>
      <c r="C70" s="146">
        <f ca="1">'Darlehen 1'!G44</f>
        <v>-6.2527760746888816E-13</v>
      </c>
      <c r="D70" s="146">
        <f ca="1">'Darlehen 1'!I45</f>
        <v>0</v>
      </c>
      <c r="E70" s="146">
        <f ca="1">'Darlehen 1'!H45</f>
        <v>0</v>
      </c>
      <c r="F70" s="150">
        <f ca="1">'Darlehen 1'!G45</f>
        <v>-6.2527760746888816E-13</v>
      </c>
      <c r="G70" s="146">
        <f ca="1">'Darlehen 2'!G44</f>
        <v>2.8421709430404007E-14</v>
      </c>
      <c r="H70" s="146">
        <f ca="1">'Darlehen 2'!I45</f>
        <v>0</v>
      </c>
      <c r="I70" s="146">
        <f ca="1">'Darlehen 2'!H45</f>
        <v>0</v>
      </c>
      <c r="J70" s="150">
        <f ca="1">'Darlehen 2'!G45</f>
        <v>2.8421709430404007E-14</v>
      </c>
      <c r="K70" s="146">
        <f ca="1">'Darlehen 3'!G44</f>
        <v>0</v>
      </c>
      <c r="L70" s="146">
        <f ca="1">'Darlehen 3'!I45</f>
        <v>0</v>
      </c>
      <c r="M70" s="146">
        <f ca="1">'Darlehen 3'!H45</f>
        <v>0</v>
      </c>
      <c r="N70" s="156">
        <f ca="1">'Darlehen 3'!G45</f>
        <v>0</v>
      </c>
    </row>
    <row r="71" spans="1:16" ht="18.75" customHeight="1">
      <c r="B71" s="143">
        <f t="shared" si="1"/>
        <v>53693</v>
      </c>
      <c r="C71" s="146">
        <f ca="1">'Darlehen 1'!G45</f>
        <v>-6.2527760746888816E-13</v>
      </c>
      <c r="D71" s="146">
        <f ca="1">'Darlehen 1'!I46</f>
        <v>0</v>
      </c>
      <c r="E71" s="146">
        <f ca="1">'Darlehen 1'!H46</f>
        <v>0</v>
      </c>
      <c r="F71" s="150">
        <f ca="1">'Darlehen 1'!G46</f>
        <v>-6.2527760746888816E-13</v>
      </c>
      <c r="G71" s="146">
        <f ca="1">'Darlehen 2'!G45</f>
        <v>2.8421709430404007E-14</v>
      </c>
      <c r="H71" s="146">
        <f ca="1">'Darlehen 2'!I46</f>
        <v>0</v>
      </c>
      <c r="I71" s="146">
        <f ca="1">'Darlehen 2'!H46</f>
        <v>0</v>
      </c>
      <c r="J71" s="150">
        <f ca="1">'Darlehen 2'!G46</f>
        <v>2.8421709430404007E-14</v>
      </c>
      <c r="K71" s="146">
        <f ca="1">'Darlehen 3'!G45</f>
        <v>0</v>
      </c>
      <c r="L71" s="146">
        <f ca="1">'Darlehen 3'!I46</f>
        <v>0</v>
      </c>
      <c r="M71" s="146">
        <f ca="1">'Darlehen 3'!H46</f>
        <v>0</v>
      </c>
      <c r="N71" s="156">
        <f ca="1">'Darlehen 3'!G46</f>
        <v>0</v>
      </c>
    </row>
    <row r="72" spans="1:16" ht="18.75" customHeight="1">
      <c r="B72" s="143">
        <f t="shared" si="1"/>
        <v>54058</v>
      </c>
      <c r="C72" s="146">
        <f ca="1">'Darlehen 1'!G46</f>
        <v>-6.2527760746888816E-13</v>
      </c>
      <c r="D72" s="146">
        <f ca="1">'Darlehen 1'!I47</f>
        <v>0</v>
      </c>
      <c r="E72" s="146">
        <f ca="1">'Darlehen 1'!H47</f>
        <v>0</v>
      </c>
      <c r="F72" s="150">
        <f ca="1">'Darlehen 1'!G47</f>
        <v>-6.2527760746888816E-13</v>
      </c>
      <c r="G72" s="146">
        <f ca="1">'Darlehen 2'!G46</f>
        <v>2.8421709430404007E-14</v>
      </c>
      <c r="H72" s="146">
        <f ca="1">'Darlehen 2'!I47</f>
        <v>0</v>
      </c>
      <c r="I72" s="146">
        <f ca="1">'Darlehen 2'!H47</f>
        <v>0</v>
      </c>
      <c r="J72" s="150">
        <f ca="1">'Darlehen 2'!G47</f>
        <v>2.8421709430404007E-14</v>
      </c>
      <c r="K72" s="146">
        <f ca="1">'Darlehen 3'!G46</f>
        <v>0</v>
      </c>
      <c r="L72" s="146">
        <f ca="1">'Darlehen 3'!I47</f>
        <v>0</v>
      </c>
      <c r="M72" s="146">
        <f ca="1">'Darlehen 3'!H47</f>
        <v>0</v>
      </c>
      <c r="N72" s="156">
        <f ca="1">'Darlehen 3'!G47</f>
        <v>0</v>
      </c>
    </row>
    <row r="73" spans="1:16" ht="18.75" customHeight="1">
      <c r="B73" s="143">
        <f t="shared" si="1"/>
        <v>54424</v>
      </c>
      <c r="C73" s="146">
        <f ca="1">'Darlehen 1'!G47</f>
        <v>-6.2527760746888816E-13</v>
      </c>
      <c r="D73" s="146">
        <f ca="1">'Darlehen 1'!I48</f>
        <v>0</v>
      </c>
      <c r="E73" s="146">
        <f ca="1">'Darlehen 1'!H48</f>
        <v>0</v>
      </c>
      <c r="F73" s="150">
        <f ca="1">'Darlehen 1'!G48</f>
        <v>-6.2527760746888816E-13</v>
      </c>
      <c r="G73" s="146">
        <f ca="1">'Darlehen 2'!G47</f>
        <v>2.8421709430404007E-14</v>
      </c>
      <c r="H73" s="146">
        <f ca="1">'Darlehen 2'!I48</f>
        <v>0</v>
      </c>
      <c r="I73" s="146">
        <f ca="1">'Darlehen 2'!H48</f>
        <v>0</v>
      </c>
      <c r="J73" s="150">
        <f ca="1">'Darlehen 2'!G48</f>
        <v>2.8421709430404007E-14</v>
      </c>
      <c r="K73" s="146">
        <f ca="1">'Darlehen 3'!G47</f>
        <v>0</v>
      </c>
      <c r="L73" s="146">
        <f ca="1">'Darlehen 3'!I48</f>
        <v>0</v>
      </c>
      <c r="M73" s="146">
        <f ca="1">'Darlehen 3'!H48</f>
        <v>0</v>
      </c>
      <c r="N73" s="156">
        <f ca="1">'Darlehen 3'!G48</f>
        <v>0</v>
      </c>
    </row>
    <row r="74" spans="1:16" ht="18.75" customHeight="1">
      <c r="B74" s="143">
        <f t="shared" si="1"/>
        <v>54789</v>
      </c>
      <c r="C74" s="146">
        <f ca="1">'Darlehen 1'!G48</f>
        <v>-6.2527760746888816E-13</v>
      </c>
      <c r="D74" s="146">
        <f ca="1">'Darlehen 1'!I49</f>
        <v>0</v>
      </c>
      <c r="E74" s="146">
        <f ca="1">'Darlehen 1'!H49</f>
        <v>0</v>
      </c>
      <c r="F74" s="150">
        <f ca="1">'Darlehen 1'!G49</f>
        <v>-6.2527760746888816E-13</v>
      </c>
      <c r="G74" s="146">
        <f ca="1">'Darlehen 2'!G48</f>
        <v>2.8421709430404007E-14</v>
      </c>
      <c r="H74" s="146">
        <f ca="1">'Darlehen 2'!I49</f>
        <v>0</v>
      </c>
      <c r="I74" s="146">
        <f ca="1">'Darlehen 2'!H49</f>
        <v>0</v>
      </c>
      <c r="J74" s="150">
        <f ca="1">'Darlehen 2'!G49</f>
        <v>2.8421709430404007E-14</v>
      </c>
      <c r="K74" s="146">
        <f ca="1">'Darlehen 3'!G48</f>
        <v>0</v>
      </c>
      <c r="L74" s="146">
        <f ca="1">'Darlehen 3'!I49</f>
        <v>0</v>
      </c>
      <c r="M74" s="146">
        <f ca="1">'Darlehen 3'!H49</f>
        <v>0</v>
      </c>
      <c r="N74" s="156">
        <f ca="1">'Darlehen 3'!G49</f>
        <v>0</v>
      </c>
    </row>
    <row r="75" spans="1:16" ht="18.75" customHeight="1">
      <c r="B75" s="143">
        <f t="shared" si="1"/>
        <v>55154</v>
      </c>
      <c r="C75" s="146">
        <f ca="1">'Darlehen 1'!G49</f>
        <v>-6.2527760746888816E-13</v>
      </c>
      <c r="D75" s="146">
        <f>'Darlehen 1'!I50</f>
        <v>0</v>
      </c>
      <c r="E75" s="146">
        <f>'Darlehen 1'!H50</f>
        <v>0</v>
      </c>
      <c r="F75" s="150">
        <f>'Darlehen 1'!G50</f>
        <v>0</v>
      </c>
      <c r="G75" s="146">
        <f ca="1">'Darlehen 2'!G49</f>
        <v>2.8421709430404007E-14</v>
      </c>
      <c r="H75" s="146">
        <f>'Darlehen 2'!I50</f>
        <v>0</v>
      </c>
      <c r="I75" s="146">
        <f>'Darlehen 2'!H50</f>
        <v>0</v>
      </c>
      <c r="J75" s="150">
        <f>'Darlehen 2'!G50</f>
        <v>0</v>
      </c>
      <c r="K75" s="146">
        <f ca="1">'Darlehen 3'!G49</f>
        <v>0</v>
      </c>
      <c r="L75" s="146">
        <f>'Darlehen 3'!I50</f>
        <v>0</v>
      </c>
      <c r="M75" s="146">
        <f>'Darlehen 3'!H50</f>
        <v>0</v>
      </c>
      <c r="N75" s="156">
        <f>'Darlehen 3'!G50</f>
        <v>0</v>
      </c>
    </row>
    <row r="76" spans="1:16" ht="18.75" customHeight="1">
      <c r="B76" s="151"/>
      <c r="F76" s="151"/>
      <c r="J76" s="151"/>
      <c r="K76" s="152"/>
      <c r="N76" s="157"/>
    </row>
    <row r="77" spans="1:16" s="100" customFormat="1" ht="18.75" customHeight="1">
      <c r="A77" s="183"/>
      <c r="D77" s="153">
        <f ca="1">SUM(D45:D75)</f>
        <v>3333.0000000000005</v>
      </c>
      <c r="E77" s="153">
        <f ca="1">SUM(E45:E75)</f>
        <v>362.75414517660835</v>
      </c>
      <c r="H77" s="153">
        <f ca="1">SUM(H45:H75)</f>
        <v>3333</v>
      </c>
      <c r="I77" s="153">
        <f ca="1">SUM(I45:I75)</f>
        <v>352.74249999999898</v>
      </c>
      <c r="L77" s="153">
        <f ca="1">SUM(L45:L75)</f>
        <v>3333</v>
      </c>
      <c r="M77" s="153">
        <f ca="1">SUM(M45:M75)</f>
        <v>666.59999999999991</v>
      </c>
      <c r="N77" s="158"/>
      <c r="P77" s="221"/>
    </row>
    <row r="78" spans="1:16" s="100" customFormat="1" ht="18.75" customHeight="1">
      <c r="A78" s="183"/>
      <c r="P78" s="221"/>
    </row>
    <row r="79" spans="1:16" s="44" customFormat="1" ht="18.75" customHeight="1">
      <c r="O79" s="100"/>
      <c r="P79" s="45"/>
    </row>
    <row r="80" spans="1:16" s="44" customFormat="1" ht="18.75" customHeight="1">
      <c r="O80" s="100"/>
      <c r="P80" s="45"/>
    </row>
    <row r="81" spans="15:16" s="44" customFormat="1" ht="18.75" customHeight="1">
      <c r="O81" s="100"/>
      <c r="P81" s="45"/>
    </row>
    <row r="82" spans="15:16" s="44" customFormat="1" ht="18.75" customHeight="1">
      <c r="O82" s="100"/>
      <c r="P82" s="45"/>
    </row>
    <row r="83" spans="15:16" s="44" customFormat="1" ht="18.75" customHeight="1">
      <c r="O83" s="100"/>
      <c r="P83" s="45"/>
    </row>
    <row r="84" spans="15:16" s="44" customFormat="1" ht="18.75" customHeight="1">
      <c r="O84" s="100"/>
      <c r="P84" s="45"/>
    </row>
    <row r="85" spans="15:16" s="44" customFormat="1" ht="18.75" customHeight="1">
      <c r="O85" s="100"/>
      <c r="P85" s="45"/>
    </row>
    <row r="86" spans="15:16" s="44" customFormat="1" ht="18.75" customHeight="1">
      <c r="O86" s="100"/>
      <c r="P86" s="45"/>
    </row>
    <row r="87" spans="15:16" s="44" customFormat="1" ht="18.75" customHeight="1">
      <c r="O87" s="100"/>
      <c r="P87" s="45"/>
    </row>
    <row r="88" spans="15:16" s="44" customFormat="1" ht="18.75" customHeight="1">
      <c r="O88" s="100"/>
      <c r="P88" s="45"/>
    </row>
    <row r="89" spans="15:16" s="44" customFormat="1" ht="18.75" customHeight="1">
      <c r="O89" s="100"/>
      <c r="P89" s="45"/>
    </row>
    <row r="90" spans="15:16" s="44" customFormat="1" ht="18.75" customHeight="1">
      <c r="O90" s="100"/>
      <c r="P90" s="45"/>
    </row>
    <row r="91" spans="15:16" s="44" customFormat="1" ht="18.75" customHeight="1">
      <c r="O91" s="100"/>
      <c r="P91" s="45"/>
    </row>
    <row r="92" spans="15:16" s="44" customFormat="1" ht="18.75" customHeight="1">
      <c r="O92" s="100"/>
      <c r="P92" s="45"/>
    </row>
    <row r="93" spans="15:16" s="44" customFormat="1" ht="18.75" customHeight="1">
      <c r="O93" s="100"/>
      <c r="P93" s="45"/>
    </row>
    <row r="94" spans="15:16" s="44" customFormat="1" ht="18.75" customHeight="1">
      <c r="O94" s="100"/>
      <c r="P94" s="45"/>
    </row>
    <row r="95" spans="15:16" s="44" customFormat="1" ht="18.75" customHeight="1">
      <c r="O95" s="100"/>
      <c r="P95" s="45"/>
    </row>
    <row r="96" spans="15:16" s="44" customFormat="1" ht="18.75" customHeight="1">
      <c r="O96" s="100"/>
      <c r="P96" s="45"/>
    </row>
    <row r="97" spans="15:16" s="44" customFormat="1" ht="18.75" customHeight="1">
      <c r="O97" s="100"/>
      <c r="P97" s="45"/>
    </row>
    <row r="98" spans="15:16" s="44" customFormat="1" ht="18.75" customHeight="1">
      <c r="O98" s="100"/>
      <c r="P98" s="45"/>
    </row>
    <row r="99" spans="15:16" s="44" customFormat="1" ht="18.75" customHeight="1">
      <c r="O99" s="100"/>
      <c r="P99" s="45"/>
    </row>
    <row r="100" spans="15:16" s="44" customFormat="1" ht="18.75" customHeight="1">
      <c r="O100" s="100"/>
      <c r="P100" s="45"/>
    </row>
    <row r="101" spans="15:16" s="44" customFormat="1" ht="18.75" customHeight="1">
      <c r="O101" s="100"/>
      <c r="P101" s="45"/>
    </row>
    <row r="102" spans="15:16" s="44" customFormat="1" ht="18.75" customHeight="1">
      <c r="O102" s="100"/>
      <c r="P102" s="45"/>
    </row>
    <row r="103" spans="15:16" s="44" customFormat="1" ht="18.75" customHeight="1">
      <c r="O103" s="100"/>
      <c r="P103" s="45"/>
    </row>
    <row r="104" spans="15:16" s="44" customFormat="1" ht="18.75" customHeight="1">
      <c r="O104" s="100"/>
      <c r="P104" s="45"/>
    </row>
    <row r="105" spans="15:16" s="44" customFormat="1" ht="18.75" customHeight="1">
      <c r="O105" s="100"/>
      <c r="P105" s="45"/>
    </row>
    <row r="106" spans="15:16" s="44" customFormat="1" ht="18.75" customHeight="1">
      <c r="O106" s="100"/>
      <c r="P106" s="45"/>
    </row>
    <row r="107" spans="15:16" s="44" customFormat="1" ht="18.75" customHeight="1">
      <c r="O107" s="100"/>
      <c r="P107" s="45"/>
    </row>
    <row r="108" spans="15:16" s="44" customFormat="1" ht="18.75" customHeight="1">
      <c r="O108" s="100"/>
      <c r="P108" s="45"/>
    </row>
    <row r="109" spans="15:16" s="44" customFormat="1" ht="18.75" customHeight="1">
      <c r="O109" s="100"/>
      <c r="P109" s="45"/>
    </row>
    <row r="110" spans="15:16" s="44" customFormat="1" ht="18.75" customHeight="1">
      <c r="O110" s="100"/>
      <c r="P110" s="45"/>
    </row>
    <row r="111" spans="15:16" s="44" customFormat="1" ht="18.75" customHeight="1">
      <c r="O111" s="100"/>
      <c r="P111" s="45"/>
    </row>
    <row r="112" spans="15:16" s="44" customFormat="1" ht="18.75" customHeight="1">
      <c r="O112" s="100"/>
      <c r="P112" s="45"/>
    </row>
    <row r="113" spans="15:16" s="44" customFormat="1" ht="18.75" customHeight="1">
      <c r="O113" s="100"/>
      <c r="P113" s="45"/>
    </row>
    <row r="114" spans="15:16" s="44" customFormat="1" ht="18.75" customHeight="1">
      <c r="O114" s="100"/>
      <c r="P114" s="45"/>
    </row>
    <row r="115" spans="15:16" s="44" customFormat="1" ht="18.75" hidden="1" customHeight="1">
      <c r="O115" s="100"/>
      <c r="P115" s="45"/>
    </row>
    <row r="116" spans="15:16" s="44" customFormat="1" ht="18.75" hidden="1" customHeight="1">
      <c r="O116" s="100"/>
      <c r="P116" s="45"/>
    </row>
  </sheetData>
  <sheetProtection algorithmName="SHA-512" hashValue="ezmpAzvVWPY437Blhz97ZBoidFvJPFF1bijaLvDFCoNGkzt/0pkUyJHFZbmt/5WFE1Lc+/a43mv3AvaZrZZ2nA==" saltValue="EJAgdPJy3jowp45W54w34Q==" spinCount="100000" sheet="1" objects="1" scenarios="1"/>
  <mergeCells count="4">
    <mergeCell ref="C40:F40"/>
    <mergeCell ref="G40:J40"/>
    <mergeCell ref="K40:N40"/>
    <mergeCell ref="B1:E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3" fitToHeight="0" orientation="landscape" r:id="rId1"/>
  <headerFooter>
    <oddHeader>&amp;L&amp;F&amp;R&amp;D</oddHeader>
    <oddFooter>&amp;CSeite &amp;P</oddFooter>
  </headerFooter>
  <rowBreaks count="3" manualBreakCount="3">
    <brk id="38" min="1" max="13" man="1"/>
    <brk id="70" min="1" max="13" man="1"/>
    <brk id="105" min="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18ea140c-cfde-4df9-bd35-c882cd2ab5ae</BSO999929>
</file>

<file path=customXml/itemProps1.xml><?xml version="1.0" encoding="utf-8"?>
<ds:datastoreItem xmlns:ds="http://schemas.openxmlformats.org/officeDocument/2006/customXml" ds:itemID="{D970A35F-831D-4B46-B345-E16AFFBB3DF2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4</vt:i4>
      </vt:variant>
    </vt:vector>
  </HeadingPairs>
  <TitlesOfParts>
    <vt:vector size="16" baseType="lpstr">
      <vt:lpstr>Version_Hinweise</vt:lpstr>
      <vt:lpstr>Eingabe</vt:lpstr>
      <vt:lpstr>Finanzierung</vt:lpstr>
      <vt:lpstr>Steuerliche Gewinnermittlung</vt:lpstr>
      <vt:lpstr>Absetzung für Abnutzung</vt:lpstr>
      <vt:lpstr>Liquiditätsvorschau</vt:lpstr>
      <vt:lpstr>Kennzahlen</vt:lpstr>
      <vt:lpstr>Investition</vt:lpstr>
      <vt:lpstr>Konten</vt:lpstr>
      <vt:lpstr>Darlehen 1</vt:lpstr>
      <vt:lpstr>Darlehen 2</vt:lpstr>
      <vt:lpstr>Darlehen 3</vt:lpstr>
      <vt:lpstr>'Absetzung für Abnutzung'!Druckbereich</vt:lpstr>
      <vt:lpstr>Investition!Druckbereich</vt:lpstr>
      <vt:lpstr>Konten!Druckbereich</vt:lpstr>
      <vt:lpstr>'Steuerliche Gewinnermittlung'!Druckbereich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Renditerechner Fotovoltaikanlagen</dc:title>
  <dc:creator>Martz</dc:creator>
  <cp:lastModifiedBy>Duwe, Thomas</cp:lastModifiedBy>
  <cp:lastPrinted>2021-09-15T11:51:31Z</cp:lastPrinted>
  <dcterms:created xsi:type="dcterms:W3CDTF">2016-10-10T13:28:54Z</dcterms:created>
  <dcterms:modified xsi:type="dcterms:W3CDTF">2022-04-26T13:42:46Z</dcterms:modified>
</cp:coreProperties>
</file>